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3mstqQgHn5Y4OSYyB1J8e5RGCEzn7+HaPr1TuFzLWU0CzwU/QTiLEoKlr70Tj5GXnjmkDIGqlyS3ilmOJ/w3A==" workbookSaltValue="/Z4KLlFQaLR4+i19MQsk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F14" i="7"/>
  <c r="F28" i="2"/>
  <c r="BF22" i="11"/>
  <c r="BK18" i="11"/>
  <c r="BG21" i="11"/>
  <c r="BV13" i="16"/>
  <c r="BV11" i="16"/>
  <c r="BW28" i="20"/>
  <c r="BV20" i="16"/>
  <c r="P16" i="17"/>
  <c r="BK20" i="11"/>
  <c r="BJ10" i="11"/>
  <c r="Q16" i="17"/>
  <c r="BF16" i="11"/>
  <c r="BK10" i="11"/>
  <c r="L10" i="2"/>
  <c r="L18" i="2"/>
  <c r="V25" i="16"/>
  <c r="BH19" i="11"/>
  <c r="BK9" i="11"/>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AA11" i="16"/>
  <c r="BK19" i="11"/>
  <c r="BJ21" i="11"/>
  <c r="BI16" i="11"/>
  <c r="BM13" i="11"/>
  <c r="BG9" i="11"/>
  <c r="BL11" i="11"/>
  <c r="R18" i="20"/>
  <c r="R23" i="20" s="1"/>
  <c r="BL21" i="11"/>
  <c r="T18" i="16"/>
  <c r="AP18" i="20"/>
  <c r="BU25" i="17"/>
  <c r="BV28" i="16"/>
  <c r="BW13" i="20"/>
  <c r="BV21" i="16"/>
  <c r="BU29" i="17"/>
  <c r="BW11" i="20"/>
  <c r="S21" i="17"/>
  <c r="BU13" i="17"/>
  <c r="S11" i="17"/>
  <c r="S25" i="17"/>
  <c r="AZ11" i="11"/>
  <c r="BF12" i="11"/>
  <c r="BH25" i="16"/>
  <c r="BL22" i="11"/>
  <c r="BI22" i="11"/>
  <c r="X21" i="20"/>
  <c r="L16" i="2"/>
  <c r="X16" i="16"/>
  <c r="X23" i="16" s="1"/>
  <c r="L9" i="2"/>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T25" i="11"/>
  <c r="T18" i="20"/>
  <c r="X20" i="20"/>
  <c r="V16" i="16"/>
  <c r="BF29" i="11"/>
  <c r="BM29" i="11"/>
  <c r="P18" i="17"/>
  <c r="BH19" i="16"/>
  <c r="BH16" i="11"/>
  <c r="BK13" i="11"/>
  <c r="S20" i="14"/>
  <c r="V20" i="14" s="1"/>
  <c r="BH11" i="16"/>
  <c r="T9" i="11"/>
  <c r="R13" i="14"/>
  <c r="S12" i="14"/>
  <c r="V12" i="14" s="1"/>
  <c r="S19" i="14"/>
  <c r="V19" i="14" s="1"/>
  <c r="S17" i="14"/>
  <c r="V17" i="14" s="1"/>
  <c r="S29" i="14"/>
  <c r="V29" i="14" s="1"/>
  <c r="R10" i="14"/>
  <c r="R12" i="14"/>
  <c r="R17" i="14"/>
  <c r="R19" i="14"/>
  <c r="R29" i="14"/>
  <c r="T13" i="11"/>
  <c r="T21" i="11"/>
  <c r="T29" i="11"/>
  <c r="T11" i="11"/>
  <c r="S9" i="14"/>
  <c r="V9" i="14" s="1"/>
  <c r="S16" i="14"/>
  <c r="V16" i="14" s="1"/>
  <c r="T20" i="11"/>
  <c r="T18" i="11"/>
  <c r="X25" i="17"/>
  <c r="AA28" i="16"/>
  <c r="AA29" i="16"/>
  <c r="AA17" i="16"/>
  <c r="X22" i="17"/>
  <c r="X13" i="17"/>
  <c r="X10" i="17"/>
  <c r="AA18" i="16"/>
  <c r="X16" i="17"/>
  <c r="X9" i="17"/>
  <c r="X11" i="17"/>
  <c r="X18" i="20"/>
  <c r="X19" i="20"/>
  <c r="AA12" i="2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<sst xmlns="http://schemas.openxmlformats.org/spreadsheetml/2006/main" count="2682" uniqueCount="1193">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</sst>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giAJ9tXdxVDtE090OQLDiVH+bnR//9OxEtIYhputkNVU4Xc7ymVgine11d++6w3nwj185Q6T/3ztw1UxItLWQ==" saltValue="mzuwalYLHis4bnyStwpy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29.922279792746114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179</v>
      </c>
      <c r="D17" s="239">
        <f>IF(ISNUMBER(IF(D_I="SI",Datos!I17,Datos!I17+Datos!AC17)),IF(D_I="SI",Datos!I17,Datos!I17+Datos!AC17)," - ")</f>
        <v>177</v>
      </c>
      <c r="E17" s="240">
        <f>IF(ISNUMBER(IF(D_I="SI",Datos!J17,Datos!J17+Datos!AD17)),IF(D_I="SI",Datos!J17,Datos!J17+Datos!AD17)," - ")</f>
        <v>437</v>
      </c>
      <c r="F17" s="240">
        <f>IF(ISNUMBER(IF(D_I="SI",Datos!K17,Datos!K17+Datos!AE17)),IF(D_I="SI",Datos!K17,Datos!K17+Datos!AE17)," - ")</f>
        <v>414</v>
      </c>
      <c r="G17" s="1390" t="str">
        <f>IF(Datos!E17&lt;&gt;"",Datos!E17,Datos!D17)</f>
        <v>04</v>
      </c>
      <c r="H17" s="241">
        <f>IF(ISNUMBER(IF(D_I="SI",Datos!L17,Datos!L17+Datos!AF17)),IF(D_I="SI",Datos!L17,Datos!L17+Datos!AF17)," - ")</f>
        <v>202</v>
      </c>
      <c r="I17" s="1400" t="str">
        <f>IF(ISNUMBER(Datos!AS17/Datos!BM17),Datos!AS17/Datos!BM17," - ")</f>
        <v xml:space="preserve"> - </v>
      </c>
      <c r="J17" s="1401">
        <f>IF(ISNUMBER(Datos!BY17/Datos!CN17),Datos!BY17/Datos!CN17," - ")</f>
        <v>0</v>
      </c>
      <c r="K17" s="244">
        <f t="shared" si="3"/>
        <v>0.12849162011173185</v>
      </c>
      <c r="L17" s="1402">
        <f>IF(ISNUMBER(NºAsuntos!I17/NºAsuntos!G17),(NºAsuntos!I17/NºAsuntos!G17)*11," - ")</f>
        <v>5.3671497584541061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16</v>
      </c>
      <c r="F18" s="240">
        <f>IF(ISNUMBER(IF(D_I="SI",Datos!K18,Datos!K18+Datos!AE18)),IF(D_I="SI",Datos!K18,Datos!K18+Datos!AE18)," - ")</f>
        <v>15</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0.04</v>
      </c>
      <c r="L18" s="1402">
        <f>IF(ISNUMBER(NºAsuntos!I18/NºAsuntos!G18),(NºAsuntos!I18/NºAsuntos!G18)*11," - ")</f>
        <v>19.066666666666666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204</v>
      </c>
      <c r="D23" s="1407">
        <f>SUBTOTAL(9,D16:D22)</f>
        <v>202</v>
      </c>
      <c r="E23" s="1408">
        <f>SUBTOTAL(9,E16:E22)</f>
        <v>453</v>
      </c>
      <c r="F23" s="1408">
        <f>SUBTOTAL(9,F16:F22)</f>
        <v>429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v>
      </c>
      <c r="D31" s="1435">
        <f>SUBTOTAL(9,D9:D30)</f>
        <v>216</v>
      </c>
      <c r="E31" s="1436">
        <f>SUBTOTAL(9,E9:E30)</f>
        <v>457</v>
      </c>
      <c r="F31" s="1436">
        <f>SUBTOTAL(9,F9:F30)</f>
        <v>433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WvNUr0vmYTcShefduWtElHoTSdYns14sAyBbHDNxJkuHMMPmWa2UquOgnFyVWTPWa8+YUF25r1jDIWufQb43w==" saltValue="hMrBY3nXazBJ03JqozNg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h8Wzep5gGM6/jmQGugucPhneET99HV3PQTB51E/WG1VhqjuE9JbRRFZl623tOGS8m/VvDnL0zGQNhS9w8QKig==" saltValue="UQi0jse4FHu1D2qXu9YA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v>
      </c>
      <c r="K10" s="194">
        <v>4</v>
      </c>
      <c r="L10" s="194">
        <v>14</v>
      </c>
      <c r="M10" s="194">
        <v>2</v>
      </c>
      <c r="N10" s="194">
        <v>0</v>
      </c>
      <c r="O10" s="194">
        <v>0</v>
      </c>
      <c r="P10" s="194">
        <v>1</v>
      </c>
      <c r="Q10" s="194">
        <v>0</v>
      </c>
      <c r="R10" s="194">
        <v>3</v>
      </c>
      <c r="S10" s="194">
        <v>9</v>
      </c>
      <c r="T10" s="194">
        <v>1</v>
      </c>
      <c r="U10" s="194">
        <v>2</v>
      </c>
      <c r="V10" s="194">
        <v>8</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2</v>
      </c>
      <c r="BB10" s="139">
        <f t="shared" si="0"/>
        <v>8</v>
      </c>
      <c r="BC10" s="135">
        <f t="shared" si="0"/>
        <v>2</v>
      </c>
      <c r="BD10" s="136">
        <f>IF(ISNUMBER(BA10/AZ10),BA10/AZ10," - ")</f>
        <v>2</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425</v>
      </c>
      <c r="J12" s="196">
        <v>226</v>
      </c>
      <c r="K12" s="196">
        <v>155</v>
      </c>
      <c r="L12" s="196">
        <v>496</v>
      </c>
      <c r="M12" s="196">
        <v>28</v>
      </c>
      <c r="N12" s="196">
        <v>71</v>
      </c>
      <c r="O12" s="194">
        <v>154</v>
      </c>
      <c r="P12" s="196">
        <v>64</v>
      </c>
      <c r="Q12" s="196">
        <v>61</v>
      </c>
      <c r="R12" s="196">
        <v>394</v>
      </c>
      <c r="S12" s="196">
        <v>486</v>
      </c>
      <c r="T12" s="196">
        <v>158</v>
      </c>
      <c r="U12" s="196">
        <v>158</v>
      </c>
      <c r="V12" s="196">
        <v>486</v>
      </c>
      <c r="W12" s="196">
        <v>37</v>
      </c>
      <c r="X12" s="202">
        <v>45</v>
      </c>
      <c r="Y12" s="204">
        <v>37</v>
      </c>
      <c r="Z12" s="194">
        <v>30</v>
      </c>
      <c r="AA12" s="194">
        <v>38</v>
      </c>
      <c r="AB12" s="194">
        <v>29</v>
      </c>
      <c r="AC12" s="196">
        <v>0</v>
      </c>
      <c r="AD12" s="196">
        <v>0</v>
      </c>
      <c r="AE12" s="196">
        <v>0</v>
      </c>
      <c r="AF12" s="202">
        <v>0</v>
      </c>
      <c r="AG12" s="215">
        <v>35</v>
      </c>
      <c r="AH12" s="196">
        <v>31</v>
      </c>
      <c r="AI12" s="196">
        <v>34</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521</v>
      </c>
      <c r="AZ12" s="137">
        <f t="shared" si="1"/>
        <v>189</v>
      </c>
      <c r="BA12" s="137">
        <f t="shared" si="1"/>
        <v>192</v>
      </c>
      <c r="BB12" s="137">
        <f t="shared" si="1"/>
        <v>518</v>
      </c>
      <c r="BC12" s="135">
        <f>IF(ISNUMBER(X12),X12," - ")</f>
        <v>45</v>
      </c>
      <c r="BD12" s="136">
        <f t="shared" si="2"/>
        <v>1.0158730158730158</v>
      </c>
      <c r="BE12" s="137">
        <f t="shared" si="3"/>
        <v>2.6979166666666665</v>
      </c>
      <c r="BF12" s="137">
        <f t="shared" si="4"/>
        <v>0.234375</v>
      </c>
      <c r="BG12" s="209">
        <f t="shared" si="5"/>
        <v>3.6979166666666665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439</v>
      </c>
      <c r="J14" s="197">
        <f t="shared" si="7"/>
        <v>230</v>
      </c>
      <c r="K14" s="197">
        <f t="shared" si="7"/>
        <v>159</v>
      </c>
      <c r="L14" s="197">
        <f t="shared" si="7"/>
        <v>510</v>
      </c>
      <c r="M14" s="197">
        <f t="shared" si="7"/>
        <v>30</v>
      </c>
      <c r="N14" s="197">
        <f t="shared" si="7"/>
        <v>71</v>
      </c>
      <c r="O14" s="197">
        <f t="shared" si="7"/>
        <v>154</v>
      </c>
      <c r="P14" s="197">
        <f t="shared" si="7"/>
        <v>65</v>
      </c>
      <c r="Q14" s="197">
        <f t="shared" si="7"/>
        <v>61</v>
      </c>
      <c r="R14" s="197">
        <f t="shared" si="7"/>
        <v>397</v>
      </c>
      <c r="S14" s="197">
        <f t="shared" si="7"/>
        <v>495</v>
      </c>
      <c r="T14" s="197">
        <f t="shared" si="7"/>
        <v>159</v>
      </c>
      <c r="U14" s="197">
        <f t="shared" si="7"/>
        <v>160</v>
      </c>
      <c r="V14" s="197">
        <f t="shared" si="7"/>
        <v>494</v>
      </c>
      <c r="W14" s="197">
        <f t="shared" si="7"/>
        <v>39</v>
      </c>
      <c r="X14" s="197">
        <f t="shared" si="7"/>
        <v>45</v>
      </c>
      <c r="Y14" s="197">
        <f t="shared" si="7"/>
        <v>37</v>
      </c>
      <c r="Z14" s="197">
        <f t="shared" si="7"/>
        <v>30</v>
      </c>
      <c r="AA14" s="197">
        <f t="shared" si="7"/>
        <v>38</v>
      </c>
      <c r="AB14" s="197">
        <f t="shared" si="7"/>
        <v>29</v>
      </c>
      <c r="AC14" s="197">
        <f t="shared" si="7"/>
        <v>0</v>
      </c>
      <c r="AD14" s="197">
        <f t="shared" si="7"/>
        <v>0</v>
      </c>
      <c r="AE14" s="197">
        <f t="shared" si="7"/>
        <v>0</v>
      </c>
      <c r="AF14" s="197">
        <f>SUBTOTAL(9,AF9:AF13)</f>
        <v>0</v>
      </c>
      <c r="AG14" s="197">
        <f t="shared" ref="AG14:AT14" si="8">SUBTOTAL(9,AG8:AG13)</f>
        <v>35</v>
      </c>
      <c r="AH14" s="197">
        <f t="shared" si="8"/>
        <v>31</v>
      </c>
      <c r="AI14" s="197">
        <f t="shared" si="8"/>
        <v>34</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530</v>
      </c>
      <c r="AZ14" s="197">
        <f>SUBTOTAL(9,AZ8:AZ13)</f>
        <v>190</v>
      </c>
      <c r="BA14" s="197">
        <f>SUBTOTAL(9,BA8:BA13)</f>
        <v>194</v>
      </c>
      <c r="BB14" s="197">
        <f>SUBTOTAL(9,BB8:BB13)</f>
        <v>526</v>
      </c>
      <c r="BC14" s="197">
        <f>SUBTOTAL(9,BC8:BC13)</f>
        <v>47</v>
      </c>
      <c r="BD14" s="219">
        <f>IF(ISNUMBER(BA14/AZ14),BA14/AZ14," - ")</f>
        <v>1.0210526315789474</v>
      </c>
      <c r="BE14" s="220">
        <f>IF(ISNUMBER(BB14/BA14),BB14/BA14, " - ")</f>
        <v>2.7113402061855671</v>
      </c>
      <c r="BF14" s="220">
        <f>IF(ISNUMBER(BC14/BA14),BC14/BA14, " - ")</f>
        <v>0.2422680412371134</v>
      </c>
      <c r="BG14" s="221">
        <f>IF(ISNUMBER((AY14+AZ14)/BA14),(AY14+AZ14)/BA14," - ")</f>
        <v>3.7113402061855671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177</v>
      </c>
      <c r="J17" s="196">
        <v>437</v>
      </c>
      <c r="K17" s="196">
        <v>414</v>
      </c>
      <c r="L17" s="196">
        <v>202</v>
      </c>
      <c r="M17" s="196">
        <v>19</v>
      </c>
      <c r="N17" s="196">
        <v>325</v>
      </c>
      <c r="O17" s="194">
        <v>7</v>
      </c>
      <c r="P17" s="196">
        <v>17</v>
      </c>
      <c r="Q17" s="196">
        <v>12</v>
      </c>
      <c r="R17" s="196">
        <v>62</v>
      </c>
      <c r="S17" s="196">
        <v>188</v>
      </c>
      <c r="T17" s="196">
        <v>273</v>
      </c>
      <c r="U17" s="196">
        <v>220</v>
      </c>
      <c r="V17" s="196">
        <v>241</v>
      </c>
      <c r="W17" s="196">
        <v>26</v>
      </c>
      <c r="X17" s="202">
        <v>137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188</v>
      </c>
      <c r="AZ17" s="137">
        <f t="shared" si="10"/>
        <v>273</v>
      </c>
      <c r="BA17" s="137">
        <f t="shared" si="10"/>
        <v>220</v>
      </c>
      <c r="BB17" s="137">
        <f t="shared" si="10"/>
        <v>241</v>
      </c>
      <c r="BC17" s="135">
        <f>IF(ISNUMBER(W17),W17," - ")</f>
        <v>26</v>
      </c>
      <c r="BD17" s="136">
        <f t="shared" ref="BD17:BD22" si="12">IF(ISNUMBER(BA17/AZ17),BA17/AZ17," - ")</f>
        <v>0.80586080586080588</v>
      </c>
      <c r="BE17" s="137">
        <f t="shared" ref="BE17:BE22" si="13">IF(ISNUMBER(BB17/BA17),BB17/BA17, " - ")</f>
        <v>1.0954545454545455</v>
      </c>
      <c r="BF17" s="137">
        <f t="shared" ref="BF17:BF22" si="14">IF(ISNUMBER(BC17/BA17),BC17/BA17, " - ")</f>
        <v>0.11818181818181818</v>
      </c>
      <c r="BG17" s="209">
        <f t="shared" si="11"/>
        <v>2.0954545454545452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16</v>
      </c>
      <c r="K18" s="196">
        <v>15</v>
      </c>
      <c r="L18" s="196">
        <v>26</v>
      </c>
      <c r="M18" s="196">
        <v>7</v>
      </c>
      <c r="N18" s="196">
        <v>4</v>
      </c>
      <c r="O18" s="196">
        <v>0</v>
      </c>
      <c r="P18" s="196">
        <v>0</v>
      </c>
      <c r="Q18" s="196">
        <v>0</v>
      </c>
      <c r="R18" s="196">
        <v>1</v>
      </c>
      <c r="S18" s="196">
        <v>23</v>
      </c>
      <c r="T18" s="196">
        <v>30</v>
      </c>
      <c r="U18" s="196">
        <v>20</v>
      </c>
      <c r="V18" s="196">
        <v>33</v>
      </c>
      <c r="W18" s="196">
        <v>4</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30</v>
      </c>
      <c r="BA18" s="139">
        <f t="shared" si="15"/>
        <v>20</v>
      </c>
      <c r="BB18" s="139">
        <f t="shared" si="15"/>
        <v>33</v>
      </c>
      <c r="BC18" s="135">
        <f>IF(ISNUMBER(W18),W18," - ")</f>
        <v>4</v>
      </c>
      <c r="BD18" s="136">
        <f>IF(ISNUMBER(BA18/AZ18),BA18/AZ18," - ")</f>
        <v>0.66666666666666663</v>
      </c>
      <c r="BE18" s="137">
        <f>IF(ISNUMBER(BB18/BA18),BB18/BA18, " - ")</f>
        <v>1.65</v>
      </c>
      <c r="BF18" s="137">
        <f>IF(ISNUMBER(BC18/BA18),BC18/BA18, " - ")</f>
        <v>0.2</v>
      </c>
      <c r="BG18" s="209">
        <f>IF(ISNUMBER((AY18+AZ18)/BA18),(AY18+AZ18)/BA18," - ")</f>
        <v>2.65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v>
      </c>
      <c r="J23" s="197">
        <f t="shared" si="21"/>
        <v>453</v>
      </c>
      <c r="K23" s="197">
        <f t="shared" si="21"/>
        <v>429</v>
      </c>
      <c r="L23" s="197">
        <f t="shared" si="21"/>
        <v>228</v>
      </c>
      <c r="M23" s="197">
        <f t="shared" si="21"/>
        <v>26</v>
      </c>
      <c r="N23" s="197">
        <f t="shared" si="21"/>
        <v>329</v>
      </c>
      <c r="O23" s="197">
        <f t="shared" si="21"/>
        <v>7</v>
      </c>
      <c r="P23" s="197">
        <f t="shared" si="21"/>
        <v>17</v>
      </c>
      <c r="Q23" s="197">
        <f t="shared" si="21"/>
        <v>12</v>
      </c>
      <c r="R23" s="197">
        <f t="shared" si="21"/>
        <v>63</v>
      </c>
      <c r="S23" s="197">
        <f t="shared" si="21"/>
        <v>211</v>
      </c>
      <c r="T23" s="197">
        <f t="shared" si="21"/>
        <v>303</v>
      </c>
      <c r="U23" s="197">
        <f t="shared" si="21"/>
        <v>240</v>
      </c>
      <c r="V23" s="197">
        <f t="shared" si="21"/>
        <v>274</v>
      </c>
      <c r="W23" s="197">
        <f t="shared" si="21"/>
        <v>30</v>
      </c>
      <c r="X23" s="197">
        <f t="shared" si="21"/>
        <v>150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211</v>
      </c>
      <c r="AZ23" s="197">
        <f>SUBTOTAL(9,AZ15:AZ22)</f>
        <v>303</v>
      </c>
      <c r="BA23" s="197">
        <f>SUBTOTAL(9,BA15:BA22)</f>
        <v>240</v>
      </c>
      <c r="BB23" s="197">
        <f>SUBTOTAL(9,BB15:BB22)</f>
        <v>274</v>
      </c>
      <c r="BC23" s="197">
        <f>SUBTOTAL(9,BC15:BC22)</f>
        <v>30</v>
      </c>
      <c r="BD23" s="219">
        <f>IF(ISNUMBER(BA23/AZ23),BA23/AZ23," - ")</f>
        <v>0.79207920792079212</v>
      </c>
      <c r="BE23" s="220">
        <f>IF(ISNUMBER(BB23/BA23),BB23/BA23, " - ")</f>
        <v>1.1416666666666666</v>
      </c>
      <c r="BF23" s="220">
        <f>IF(ISNUMBER(BC23/BA23),BC23/BA23, " - ")</f>
        <v>0.125</v>
      </c>
      <c r="BG23" s="221">
        <f>IF(ISNUMBER((AY23+AZ23)/BA23),(AY23+AZ23)/BA23," - ")</f>
        <v>2.1416666666666666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641</v>
      </c>
      <c r="J31" s="144">
        <f t="shared" si="36"/>
        <v>683</v>
      </c>
      <c r="K31" s="144">
        <f t="shared" si="36"/>
        <v>588</v>
      </c>
      <c r="L31" s="144">
        <f t="shared" si="36"/>
        <v>738</v>
      </c>
      <c r="M31" s="144">
        <f t="shared" si="36"/>
        <v>56</v>
      </c>
      <c r="N31" s="144">
        <f t="shared" si="36"/>
        <v>400</v>
      </c>
      <c r="O31" s="144">
        <f t="shared" si="36"/>
        <v>161</v>
      </c>
      <c r="P31" s="144">
        <f t="shared" si="36"/>
        <v>82</v>
      </c>
      <c r="Q31" s="144">
        <f t="shared" si="36"/>
        <v>73</v>
      </c>
      <c r="R31" s="144">
        <f t="shared" si="36"/>
        <v>460</v>
      </c>
      <c r="S31" s="144">
        <f t="shared" si="36"/>
        <v>706</v>
      </c>
      <c r="T31" s="144">
        <f t="shared" si="36"/>
        <v>462</v>
      </c>
      <c r="U31" s="144">
        <f t="shared" si="36"/>
        <v>400</v>
      </c>
      <c r="V31" s="144">
        <f t="shared" si="36"/>
        <v>768</v>
      </c>
      <c r="W31" s="144">
        <f t="shared" si="36"/>
        <v>69</v>
      </c>
      <c r="X31" s="144">
        <f t="shared" si="36"/>
        <v>195</v>
      </c>
      <c r="Y31" s="144">
        <f t="shared" si="36"/>
        <v>37</v>
      </c>
      <c r="Z31" s="144">
        <f t="shared" si="36"/>
        <v>30</v>
      </c>
      <c r="AA31" s="144">
        <f t="shared" si="36"/>
        <v>38</v>
      </c>
      <c r="AB31" s="144">
        <f t="shared" si="36"/>
        <v>29</v>
      </c>
      <c r="AC31" s="144">
        <f t="shared" si="36"/>
        <v>0</v>
      </c>
      <c r="AD31" s="144">
        <f t="shared" si="36"/>
        <v>0</v>
      </c>
      <c r="AE31" s="144">
        <f t="shared" si="36"/>
        <v>0</v>
      </c>
      <c r="AF31" s="144">
        <f t="shared" si="36"/>
        <v>0</v>
      </c>
      <c r="AG31" s="144">
        <f t="shared" si="36"/>
        <v>35</v>
      </c>
      <c r="AH31" s="144">
        <f t="shared" si="36"/>
        <v>31</v>
      </c>
      <c r="AI31" s="144">
        <f t="shared" si="36"/>
        <v>34</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741</v>
      </c>
      <c r="AZ31" s="144">
        <f>SUBTOTAL(9,AZ9:AZ30)</f>
        <v>493</v>
      </c>
      <c r="BA31" s="144">
        <f>SUBTOTAL(9,BA9:BA30)</f>
        <v>434</v>
      </c>
      <c r="BB31" s="144">
        <f>SUBTOTAL(9,BB9:BB30)</f>
        <v>800</v>
      </c>
      <c r="BC31" s="145">
        <f>SUBTOTAL(9,BC9:BC30)</f>
        <v>77</v>
      </c>
      <c r="BD31" s="227">
        <f>IF(ISNUMBER(BA31/AZ31),BA31/AZ31," - ")</f>
        <v>0.88032454361054768</v>
      </c>
      <c r="BE31" s="224">
        <f>IF(ISNUMBER(BB31/BA31),BB31/BA31, " - ")</f>
        <v>1.8433179723502304</v>
      </c>
      <c r="BF31" s="224">
        <f>IF(ISNUMBER(BC31/BA31),BC31/BA31, " - ")</f>
        <v>0.17741935483870969</v>
      </c>
      <c r="BG31" s="145">
        <f>IF(ISNUMBER((AY31+AZ31)/BA31),(AY31+AZ31)/BA31," - ")</f>
        <v>2.8433179723502304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Pcw4qJ66kPffpLk0AjZPrVPdLjhhBnBwK1zyBYBXFadBmmmnyv1IPfMmhcs2XehjR7fUZ7ANQyrVXF0HEVL9Q==" saltValue="vpRjIArPlnEjkBbN+lIA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PKb7Ey1GdKL7eu1fVf1YEzMCB00AvQuEkA29AgJDFLiKUKP5qWDCjRdyTFsUONQzmV8s1OufcN77p/6qusLA==" saltValue="e+htW5Hi4HopNCEzTwZG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CAZORLA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0.75390625</v>
      </c>
      <c r="BH12" s="764">
        <f>IF(ISNUMBER(((IF(J_V="SI",Datos!L12/Datos!K12,(Datos!L12+Datos!AB12)/(Datos!K12+Datos!AA12)))*11)/factor_trimestre),((IF(J_V="SI",Datos!L12/Datos!K12,(Datos!L12+Datos!AB12)/(Datos!K12+Datos!AA12)))*11)/factor_trimestre," - ")</f>
        <v>5.4404145077720205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7.6726342710997444E-3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61</v>
      </c>
      <c r="AD14" s="1198">
        <f t="shared" si="2"/>
        <v>0</v>
      </c>
      <c r="AE14" s="1198">
        <f t="shared" si="2"/>
        <v>0</v>
      </c>
      <c r="AF14" s="1198">
        <f t="shared" si="2"/>
        <v>14</v>
      </c>
      <c r="AG14" s="1198">
        <f t="shared" si="2"/>
        <v>0</v>
      </c>
      <c r="AH14" s="1198">
        <f t="shared" si="2"/>
        <v>29</v>
      </c>
      <c r="AI14" s="1198">
        <f t="shared" si="2"/>
        <v>0</v>
      </c>
      <c r="AJ14" s="1198">
        <f t="shared" si="2"/>
        <v>0</v>
      </c>
      <c r="AK14" s="1198">
        <f t="shared" si="2"/>
        <v>0</v>
      </c>
      <c r="AL14" s="1198">
        <f t="shared" si="2"/>
        <v>0</v>
      </c>
      <c r="AM14" s="1198">
        <f t="shared" si="2"/>
        <v>397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71</v>
      </c>
      <c r="BE14" s="1198">
        <f t="shared" si="2"/>
        <v>0</v>
      </c>
      <c r="BF14" s="1198">
        <f t="shared" si="2"/>
        <v>0</v>
      </c>
      <c r="BG14" s="1198">
        <f>IF(ISNUMBER(Datos!K14/Datos!J14),Datos!K14/Datos!J14," - ")</f>
        <v>0.69130434782608696</v>
      </c>
      <c r="BH14" s="1202">
        <f>IF(ISNUMBER(((Datos!L14/Datos!K14)*11)/factor_trimestre),((Datos!L14/Datos!K14)*11)/factor_trimestre," - ")</f>
        <v>6.4150943396226419</v>
      </c>
      <c r="BI14" s="1198">
        <f>IF(ISNUMBER('Resol  Asuntos'!D14/NºAsuntos!G14),'Resol  Asuntos'!D14/NºAsuntos!G14," - ")</f>
        <v>0.15228426395939088</v>
      </c>
      <c r="BJ14" s="1198" t="str">
        <f>IF(ISNUMBER(Datos!CI14/Datos!CJ14),Datos!CI14/Datos!CJ14," - ")</f>
        <v xml:space="preserve"> - </v>
      </c>
      <c r="BK14" s="1198">
        <f>SUBTOTAL(9,BK8:BK13)</f>
        <v>0</v>
      </c>
      <c r="BL14" s="1198">
        <f>IF(ISNUMBER((I14-AB14+L14)/(F14)),(I14-AB14+L14)/(F14)," - ")</f>
        <v>-0.2857142857142857</v>
      </c>
      <c r="BM14" s="1203">
        <f>SUBTOTAL(9,BM9:BM13)</f>
        <v>0.50767263427109977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179</v>
      </c>
      <c r="G17" s="743">
        <f>IF(ISNUMBER(IF(D_I="SI",Datos!I17,Datos!I17+Datos!AC17)),IF(D_I="SI",Datos!I17,Datos!I17+Datos!AC17)," - ")</f>
        <v>177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414</v>
      </c>
      <c r="AC17" s="240">
        <f>IF(ISNUMBER(Datos!Q17),Datos!Q17," - ")</f>
        <v>12</v>
      </c>
      <c r="AD17" s="374"/>
      <c r="AE17" s="562"/>
      <c r="AF17" s="741">
        <f>IF(ISNUMBER(IF(D_I="SI",Datos!L17,Datos!L17+Datos!AF17)),IF(D_I="SI",Datos!L17,Datos!L17+Datos!AF17)," - ")</f>
        <v>202</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325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0.94736842105263153</v>
      </c>
      <c r="BH17" s="764">
        <f>IF(ISNUMBER(((IF(D_I="SI",Datos!L17/Datos!K17,(Datos!L17+Datos!AF17)/(Datos!K17+Datos!AE17)))*11)/factor_trimestre),((IF(D_I="SI",Datos!L17/Datos!K17,(Datos!L17+Datos!AF17)/(Datos!K17+Datos!AE17)))*11)/factor_trimestre," - ")</f>
        <v>0.97584541062801933</v>
      </c>
      <c r="BI17" s="266">
        <f>IF(ISNUMBER('Resol  Asuntos'!D17/NºAsuntos!G17),'Resol  Asuntos'!D17/NºAsuntos!G17," - ")</f>
        <v>4.5893719806763288E-2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26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0.9375</v>
      </c>
      <c r="BH18" s="764">
        <f>IF(ISNUMBER(((IF(D_I="SI",Datos!L18/Datos!K18,(Datos!L18+Datos!AF18)/(Datos!K18+Datos!AE18)))*11)/factor_trimestre),((IF(D_I="SI",Datos!L18/Datos!K18,(Datos!L18+Datos!AF18)/(Datos!K18+Datos!AE18)))*11)/factor_trimestre," - ")</f>
        <v>3.4666666666666668</v>
      </c>
      <c r="BI18" s="763">
        <f>IF(ISNUMBER('Resol  Asuntos'!D18/NºAsuntos!G18),'Resol  Asuntos'!D18/NºAsuntos!G18," - ")</f>
        <v>0.46666666666666667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179</v>
      </c>
      <c r="G23" s="1197">
        <f>SUBTOTAL(9,G16:G22)</f>
        <v>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429</v>
      </c>
      <c r="AC23" s="1198">
        <f t="shared" si="5"/>
        <v>12</v>
      </c>
      <c r="AD23" s="1198">
        <f t="shared" si="5"/>
        <v>0</v>
      </c>
      <c r="AE23" s="1198">
        <f t="shared" si="5"/>
        <v>0</v>
      </c>
      <c r="AF23" s="1198">
        <f t="shared" si="5"/>
        <v>228</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329</v>
      </c>
      <c r="BE23" s="1198">
        <f t="shared" si="5"/>
        <v>0</v>
      </c>
      <c r="BF23" s="1198">
        <f t="shared" si="5"/>
        <v>0</v>
      </c>
      <c r="BG23" s="1198">
        <f>IF(ISNUMBER(Datos!K23/Datos!J23),Datos!K23/Datos!J23," - ")</f>
        <v>0.94701986754966883</v>
      </c>
      <c r="BH23" s="1202">
        <f>IF(ISNUMBER(((Datos!L23/Datos!K23)*11)/factor_trimestre),((Datos!L23/Datos!K23)*11)/factor_trimestre," - ")</f>
        <v>1.0629370629370629</v>
      </c>
      <c r="BI23" s="1198">
        <f>SUBTOTAL(9,BI16:BI22)</f>
        <v>0.51256038647342994</v>
      </c>
      <c r="BJ23" s="1198">
        <f>SUBTOTAL(9,BJ16:BJ22)</f>
        <v>0</v>
      </c>
      <c r="BK23" s="1198">
        <f>SUBTOTAL(9,BK16:BK22)</f>
        <v>0</v>
      </c>
      <c r="BL23" s="1198">
        <f>IF(ISNUMBER((I23-AB23+L23)/(F23)),(I23-AB23+L23)/(F23)," - ")</f>
        <v>-2.3966480446927374</v>
      </c>
      <c r="BM23" s="1205">
        <f>IF(ISNUMBER((Datos!P23-Datos!Q23)/(Datos!R23-Datos!P23+Datos!Q23)),(Datos!P23-Datos!Q23)/(Datos!R23-Datos!P23+Datos!Q23)," - ")</f>
        <v>8.6206896551724144E-2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193</v>
      </c>
      <c r="G31" s="1117">
        <f t="shared" si="18"/>
        <v>216</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433</v>
      </c>
      <c r="AC31" s="1118">
        <f t="shared" si="19"/>
        <v>73</v>
      </c>
      <c r="AD31" s="1118">
        <f t="shared" si="19"/>
        <v>0</v>
      </c>
      <c r="AE31" s="1118">
        <f t="shared" si="19"/>
        <v>0</v>
      </c>
      <c r="AF31" s="1125">
        <f t="shared" si="19"/>
        <v>242</v>
      </c>
      <c r="AG31" s="1125">
        <f t="shared" si="19"/>
        <v>0</v>
      </c>
      <c r="AH31" s="1125">
        <f t="shared" si="19"/>
        <v>29</v>
      </c>
      <c r="AI31" s="1125">
        <f t="shared" si="19"/>
        <v>0</v>
      </c>
      <c r="AJ31" s="1118">
        <f t="shared" si="19"/>
        <v>0</v>
      </c>
      <c r="AK31" s="1125">
        <f t="shared" si="19"/>
        <v>0</v>
      </c>
      <c r="AL31" s="1125">
        <f t="shared" si="19"/>
        <v>0</v>
      </c>
      <c r="AM31" s="1125">
        <f t="shared" si="19"/>
        <v>460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v>
      </c>
      <c r="BD31" s="1117">
        <f t="shared" si="19"/>
        <v>400</v>
      </c>
      <c r="BE31" s="1117">
        <f t="shared" si="19"/>
        <v>0</v>
      </c>
      <c r="BF31" s="1127">
        <f t="shared" si="19"/>
        <v>0</v>
      </c>
      <c r="BG31" s="1223">
        <f>IF(ISNUMBER(Datos!K31/Datos!J31),Datos!K31/Datos!J31," - ")</f>
        <v>0.86090775988286972</v>
      </c>
      <c r="BH31" s="1223">
        <f>IF(ISNUMBER(((Datos!L31/Datos!K31)*11)/factor_trimestre),((Datos!L31/Datos!K31)*11)/factor_trimestre," - ")</f>
        <v>2.510204081632653</v>
      </c>
      <c r="BI31" s="1103">
        <f>IF(ISNUMBER(Datos!J31/Datos!I31),Datos!J31/Datos!I31," - ")</f>
        <v>1.0655226209048363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-2.2435233160621761</v>
      </c>
      <c r="BM31" s="1188">
        <f>IF(ISNUMBER((Datos!P31-Datos!Q31+R31)/(Datos!R31-Datos!P31+Datos!Q31-R31)),(Datos!P31-Datos!Q31+R31)/(Datos!R31-Datos!P31+Datos!Q31-R31)," - ")</f>
        <v>1.9955654101995565E-2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89.040814611427862</v>
      </c>
      <c r="G33" s="674">
        <f>IF(ISNUMBER(STDEV(G8:G30)),STDEV(G8:G30),"-")</f>
        <v>88.024076792875803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203.53436588261476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13.125765283811617</v>
      </c>
      <c r="BD33" s="673"/>
      <c r="BE33" s="673">
        <f>IF(ISNUMBER(STDEV(BE8:BE30)),STDEV(BE8:BE30),"-")</f>
        <v>0</v>
      </c>
      <c r="BF33" s="678">
        <f>IF(ISNUMBER(STDEV(BF8:BF30)),STDEV(BF8:BF30),"-")</f>
        <v>0</v>
      </c>
      <c r="BG33" s="1052">
        <f>IF(ISNUMBER(STDEV(BG8:BG30)),STDEV(BG8:BG30),"-")</f>
        <v>0.12509252335497531</v>
      </c>
      <c r="BH33" s="1058">
        <f>IF(ISNUMBER(STDEV(BH8:BH30)),STDEV(BH8:BH30),"-")</f>
        <v>2.6435602369962505</v>
      </c>
      <c r="BI33" s="273">
        <f>IF(ISNUMBER(STDEV(BI8:BI30)),STDEV(BI8:BI30),"-")</f>
        <v>0.23037795242736253</v>
      </c>
      <c r="BJ33" s="244" t="str">
        <f>IF(ISNUMBER(BL33/BM33),BL33/BM33," - ")</f>
        <v xml:space="preserve"> - </v>
      </c>
      <c r="BK33" s="709"/>
      <c r="BL33" s="681">
        <f>IF(ISNUMBER(STDEV(BL8:BL30)),STDEV(BL8:BL30),"-")</f>
        <v>1.4926555756092725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PdvNHs6iczPN6mofI/7wKTkuYJEK3YML9K2xrimnQDV57Y3E0LlEL+ckwQvFsxWBrdA8Av/1LV1kuwW4akQsA==" saltValue="23apLxyOtX2rQg4VPNKK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CAZORLA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394</v>
      </c>
      <c r="AF12" s="693" t="str">
        <f>IF(ISNUMBER(Datos!BV12),Datos!BV12," - ")</f>
        <v xml:space="preserve"> - </v>
      </c>
      <c r="AG12" s="552" t="str">
        <f>IF(ISNUMBER(Datos!DV12),Datos!DV12," - ")</f>
        <v xml:space="preserve"> - </v>
      </c>
      <c r="AH12" s="553"/>
      <c r="AI12" s="554"/>
      <c r="AJ12" s="552">
        <f>IF(ISNUMBER(Datos!M12),Datos!M12," - ")</f>
        <v>28</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5.4404145077720205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7.6726342710997444E-3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61</v>
      </c>
      <c r="AA14" s="1199">
        <f t="shared" si="3"/>
        <v>14</v>
      </c>
      <c r="AB14" s="1199">
        <f t="shared" si="3"/>
        <v>0</v>
      </c>
      <c r="AC14" s="1199">
        <f t="shared" si="3"/>
        <v>0</v>
      </c>
      <c r="AD14" s="1199">
        <f t="shared" si="3"/>
        <v>0</v>
      </c>
      <c r="AE14" s="1199">
        <f t="shared" si="3"/>
        <v>397</v>
      </c>
      <c r="AF14" s="1211">
        <f t="shared" si="3"/>
        <v>0</v>
      </c>
      <c r="AG14" s="1211">
        <f t="shared" si="3"/>
        <v>0</v>
      </c>
      <c r="AH14" s="1211">
        <f t="shared" si="3"/>
        <v>0</v>
      </c>
      <c r="AI14" s="1211">
        <f t="shared" si="3"/>
        <v>0</v>
      </c>
      <c r="AJ14" s="1211">
        <f t="shared" si="3"/>
        <v>30</v>
      </c>
      <c r="AK14" s="1211">
        <f t="shared" si="3"/>
        <v>71</v>
      </c>
      <c r="AL14" s="1211">
        <f t="shared" si="3"/>
        <v>0</v>
      </c>
      <c r="AM14" s="1211">
        <f t="shared" si="3"/>
        <v>0</v>
      </c>
      <c r="AN14" s="1211">
        <f t="shared" si="3"/>
        <v>0</v>
      </c>
      <c r="AO14" s="1203">
        <f>IF(ISNUMBER(((NºAsuntos!I14/NºAsuntos!G14)*11)/factor_trimestre),((NºAsuntos!I14/NºAsuntos!G14)*11)/factor_trimestre," - ")</f>
        <v>5.4720812182741119</v>
      </c>
      <c r="AP14" s="1213" t="str">
        <f>IF(ISNUMBER(Datos!CI14/Datos!CJ14),Datos!CI14/Datos!CJ14," - ")</f>
        <v xml:space="preserve"> - </v>
      </c>
      <c r="AQ14" s="1236">
        <f t="shared" ref="AQ14:AV14" si="4">SUBTOTAL(9,AQ9:AQ13)</f>
        <v>0</v>
      </c>
      <c r="AR14" s="1236">
        <f t="shared" si="4"/>
        <v>0.50767263427109977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179</v>
      </c>
      <c r="G17" s="552">
        <f>IF(ISNUMBER(IF(D_I="SI",Datos!I17,Datos!I17+Datos!AC17)),IF(D_I="SI",Datos!I17,Datos!I17+Datos!AC17)," - ")</f>
        <v>177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414</v>
      </c>
      <c r="Z17" s="805">
        <f>IF(ISNUMBER(Datos!Q17),Datos!Q17," - ")</f>
        <v>12</v>
      </c>
      <c r="AA17" s="551">
        <f>IF(ISNUMBER(IF(D_I="SI",Datos!L17,Datos!L17+Datos!AF17)),IF(D_I="SI",Datos!L17,Datos!L17+Datos!AF17)," - ")</f>
        <v>202</v>
      </c>
      <c r="AB17" s="549"/>
      <c r="AC17" s="549"/>
      <c r="AD17" s="563"/>
      <c r="AE17" s="563">
        <f>IF(ISNUMBER(Datos!R17),Datos!R17," - ")</f>
        <v>62</v>
      </c>
      <c r="AF17" s="693" t="str">
        <f>IF(ISNUMBER(Datos!BV17),Datos!BV17," - ")</f>
        <v xml:space="preserve"> - </v>
      </c>
      <c r="AG17" s="552"/>
      <c r="AH17" s="553"/>
      <c r="AI17" s="554"/>
      <c r="AJ17" s="552">
        <f>IF(ISNUMBER(Datos!M17),Datos!M17," - ")</f>
        <v>19</v>
      </c>
      <c r="AK17" s="693">
        <f>IF(ISNUMBER(Datos!N17),Datos!N17," - ")</f>
        <v>325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0.97584541062801933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26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3.4666666666666668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179</v>
      </c>
      <c r="G23" s="1197">
        <f>SUBTOTAL(9,G16:G22)</f>
        <v>202</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429</v>
      </c>
      <c r="Z23" s="1240">
        <f t="shared" si="6"/>
        <v>12</v>
      </c>
      <c r="AA23" s="1240">
        <f t="shared" si="6"/>
        <v>228</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26</v>
      </c>
      <c r="AK23" s="1240">
        <f t="shared" si="6"/>
        <v>329</v>
      </c>
      <c r="AL23" s="1240">
        <f t="shared" si="6"/>
        <v>0</v>
      </c>
      <c r="AM23" s="1240">
        <f t="shared" si="6"/>
        <v>0</v>
      </c>
      <c r="AN23" s="1240">
        <f t="shared" si="6"/>
        <v>0</v>
      </c>
      <c r="AO23" s="1242">
        <f>IF(ISNUMBER(((NºAsuntos!I23/NºAsuntos!G23)*11)/factor_trimestre),((NºAsuntos!I23/NºAsuntos!G23)*11)/factor_trimestre," - ")</f>
        <v>1.0629370629370629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193</v>
      </c>
      <c r="G31" s="1117">
        <f t="shared" si="12"/>
        <v>216</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433</v>
      </c>
      <c r="Z31" s="1124">
        <f t="shared" si="13"/>
        <v>73</v>
      </c>
      <c r="AA31" s="1125">
        <f t="shared" si="13"/>
        <v>242</v>
      </c>
      <c r="AB31" s="1125">
        <f t="shared" si="13"/>
        <v>0</v>
      </c>
      <c r="AC31" s="1125">
        <f t="shared" si="13"/>
        <v>0</v>
      </c>
      <c r="AD31" s="1126">
        <f t="shared" si="13"/>
        <v>0</v>
      </c>
      <c r="AE31" s="1126">
        <f t="shared" si="13"/>
        <v>460</v>
      </c>
      <c r="AF31" s="1127">
        <f t="shared" si="13"/>
        <v>0</v>
      </c>
      <c r="AG31" s="1128">
        <f t="shared" si="13"/>
        <v>0</v>
      </c>
      <c r="AH31" s="1129">
        <f t="shared" si="13"/>
        <v>0</v>
      </c>
      <c r="AI31" s="1127">
        <f t="shared" si="13"/>
        <v>0</v>
      </c>
      <c r="AJ31" s="1117">
        <f t="shared" si="13"/>
        <v>56</v>
      </c>
      <c r="AK31" s="1117">
        <f t="shared" si="13"/>
        <v>400</v>
      </c>
      <c r="AL31" s="1117">
        <f t="shared" si="13"/>
        <v>0</v>
      </c>
      <c r="AM31" s="1130">
        <f t="shared" si="13"/>
        <v>0</v>
      </c>
      <c r="AN31" s="1120">
        <f>IF(ISNUMBER(Datos!K31/Datos!J31),Datos!K31/Datos!J31," - ")</f>
        <v>0.86090775988286972</v>
      </c>
      <c r="AO31" s="1120">
        <f>IF(ISNUMBER(FIND("06",Criterios!A8,1)),(IF(ISNUMBER(((Datos!R31/Datos!Q31)*11)/factor_trimestre),((Datos!R31/Datos!Q31)*11)/factor_trimestre," - ")),(IF(ISNUMBER(((Datos!L31/Datos!K31)*11)/factor_trimestre),((Datos!L31/Datos!K31)*11)/factor_trimestre," - ")))</f>
        <v>2.510204081632653</v>
      </c>
      <c r="AP31" s="1131" t="str">
        <f>IF(ISNUMBER(Datos!CI31/Datos!CJ31),Datos!CI31/Datos!CJ31," - ")</f>
        <v xml:space="preserve"> - </v>
      </c>
      <c r="AQ31" s="1131">
        <f>IF(OR(ISNUMBER(FIND("01",Criterios!A8,1)),ISNUMBER(FIND("02",Criterios!A8,1)),ISNUMBER(FIND("03",Criterios!A8,1)),ISNUMBER(FIND("04",Criterios!A8,1))),(J31-Y31+K31)/(F31-K31),(I31-Y31+K31)/(F31-K31))</f>
        <v>-2.2435233160621761</v>
      </c>
      <c r="AR31" s="1131">
        <f>IF(ISNUMBER((Datos!P31-Datos!Q31+O31)/(Datos!R31-Datos!P31+Datos!Q31-O31)),(Datos!P31-Datos!Q31+O31)/(Datos!R31-Datos!P31+Datos!Q31-O31)," - ")</f>
        <v>1.9955654101995565E-2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89.040814611427862</v>
      </c>
      <c r="G33" s="674">
        <f>IF(ISNUMBER(STDEV(G8:G30)),STDEV(G8:G30),"-")</f>
        <v>88.024076792875803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13.125765283811617</v>
      </c>
      <c r="AK33" s="276"/>
      <c r="AL33" s="276">
        <f>IF(ISNUMBER(STDEV(AL8:AL30)),STDEV(AL8:AL30),"-")</f>
        <v>0</v>
      </c>
      <c r="AM33" s="278">
        <f>IF(ISNUMBER(STDEV(AM8:AM30)),STDEV(AM8:AM30),"-")</f>
        <v>0</v>
      </c>
      <c r="AN33" s="660">
        <f>IF(ISNUMBER(STDEV(AN8:AN30)),STDEV(AN8:AN30),"-")</f>
        <v>0</v>
      </c>
      <c r="AO33" s="661">
        <f>IF(ISNUMBER(STDEV(AO8:AO30)),STDEV(AO8:AO30),"-")</f>
        <v>2.4996658373502485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xSkhuCRvurog23WjM3iQT7uso1X3uWKcPmFpxeUD9fEE6worB3x7icF7BPcRQJCpnb3EILAzubEzGwEJqupew==" saltValue="xrtUWqiSH6VMtW5/mNLe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CTghlz9utbqqybanhc6E6Xijkcc4ZwAJJEmaG0W88iy+TS/27c5nrFk62aUPESAIWH9MFlt/s4v2pGWCdHrqg==" saltValue="Ppnj3ZE9z/XjtSnQlG+b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F7Jb8jYSPB9ST01goW2mrFhtkImMdl3c4sHVQvx0noGbnmVCen+eYEnrNXZqoDQTK69uhL2TtAt/EoWqYsbA==" saltValue="CGbk0uEHknBZdtEyP9as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CAZORLA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0.15228426395939088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0.10768123571368746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fLzM1FxXPnNHZiUWCaMTYAw7ik4haJeFoiwb89n7zr6es/Y2jyz7LMBmlmRBMA2gGrVkxjbNw6XIpCDo/McOg==" saltValue="mDjch3Kul2/o8WE0i+cp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Gyg33ZaQPFMYO2Ub4SPxDmF+BIdNTQMjEOJto+2ybrReT8sGppFuYgiPuHoL9+uTNPMJLO6WjgBw1TseLaAig==" saltValue="ldpn43qzusT0HUL7oAIU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CAZORLA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v>
      </c>
      <c r="F10" s="452">
        <f>IF(ISNUMBER(E10/B10),E10/B10," - ")</f>
        <v>4</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462</v>
      </c>
      <c r="D12" s="452">
        <f>IF(ISNUMBER(C12/Datos!BH12),C12/Datos!BH12," - ")</f>
        <v>231</v>
      </c>
      <c r="E12" s="451">
        <f>IF(ISNUMBER(IF(J_V="SI",Datos!J12,Datos!J12+Datos!Z12)),IF(J_V="SI",Datos!J12,Datos!J12+Datos!Z12)," - ")</f>
        <v>256</v>
      </c>
      <c r="F12" s="452">
        <f>IF(ISNUMBER(E12/B12),E12/B12," - ")</f>
        <v>128</v>
      </c>
      <c r="G12" s="451">
        <f>IF(ISNUMBER(IF(J_V="SI",Datos!K12,Datos!K12+Datos!AA12)),IF(J_V="SI",Datos!K12,Datos!K12+Datos!AA12)," - ")</f>
        <v>193</v>
      </c>
      <c r="H12" s="452">
        <f>IF(ISNUMBER(G12/B12),G12/B12," - ")</f>
        <v>96.5</v>
      </c>
      <c r="I12" s="451">
        <f>IF(ISNUMBER(IF(J_V="SI",Datos!L12,Datos!L12+Datos!AB12)),IF(J_V="SI",Datos!L12,Datos!L12+Datos!AB12)," - ")</f>
        <v>525</v>
      </c>
      <c r="J12" s="452">
        <f>IF(ISNUMBER(I12/B12),I12/B12," - ")</f>
        <v>262.5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476</v>
      </c>
      <c r="D14" s="1147" t="str">
        <f>IF(ISNUMBER(C14/Datos!BI14),C14/Datos!BI14," - ")</f>
        <v xml:space="preserve"> - </v>
      </c>
      <c r="E14" s="1146">
        <f>SUBTOTAL(9,E8:E13)</f>
        <v>260</v>
      </c>
      <c r="F14" s="1147">
        <f>IF(ISNUMBER(E14/B14),E14/B14," - ")</f>
        <v>130</v>
      </c>
      <c r="G14" s="1146">
        <f>SUBTOTAL(9,G8:G13)</f>
        <v>197</v>
      </c>
      <c r="H14" s="1147">
        <f>IF(ISNUMBER(G14/B14),G14/B14," - ")</f>
        <v>98.5</v>
      </c>
      <c r="I14" s="1146">
        <f>SUBTOTAL(9,I8:I13)</f>
        <v>539</v>
      </c>
      <c r="J14" s="1147">
        <f>IF(ISNUMBER(I14/B14),I14/B14," - ")</f>
        <v>269.5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177</v>
      </c>
      <c r="D17" s="452">
        <f>IF(ISNUMBER(C17/Datos!BH17),C17/Datos!BH17," - ")</f>
        <v>88.5</v>
      </c>
      <c r="E17" s="451">
        <f>IF(ISNUMBER(IF(D_I="SI",Datos!J17,Datos!J17+Datos!AD17)),IF(D_I="SI",Datos!J17,Datos!J17+Datos!AD17)," - ")</f>
        <v>437</v>
      </c>
      <c r="F17" s="452">
        <f>IF(ISNUMBER(E17/B17),E17/B17," - ")</f>
        <v>218.5</v>
      </c>
      <c r="G17" s="451">
        <f>IF(ISNUMBER(IF(D_I="SI",Datos!K17,Datos!K17+Datos!AE17)),IF(D_I="SI",Datos!K17,Datos!K17+Datos!AE17)," - ")</f>
        <v>414</v>
      </c>
      <c r="H17" s="452">
        <f>IF(ISNUMBER(G17/B17),G17/B17," - ")</f>
        <v>207</v>
      </c>
      <c r="I17" s="451">
        <f>IF(ISNUMBER(IF(D_I="SI",Datos!L17,Datos!L17+Datos!AF17)),IF(D_I="SI",Datos!L17,Datos!L17+Datos!AF17)," - ")</f>
        <v>202</v>
      </c>
      <c r="J17" s="452">
        <f>IF(ISNUMBER(I17/B17),I17/B17," - ")</f>
        <v>101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16</v>
      </c>
      <c r="F18" s="452">
        <f>IF(ISNUMBER(E18/B18),E18/B18," - ")</f>
        <v>16</v>
      </c>
      <c r="G18" s="451">
        <f>IF(ISNUMBER(IF(D_I="SI",Datos!K18,Datos!K18+Datos!AE18)),IF(D_I="SI",Datos!K18,Datos!K18+Datos!AE18)," - ")</f>
        <v>15</v>
      </c>
      <c r="H18" s="452">
        <f>IF(ISNUMBER(G18/B18),G18/B18," - ")</f>
        <v>15</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202</v>
      </c>
      <c r="D23" s="1147" t="str">
        <f>IF(ISNUMBER(C23/Datos!BI23),C23/Datos!BI23," - ")</f>
        <v xml:space="preserve"> - </v>
      </c>
      <c r="E23" s="1146">
        <f>SUBTOTAL(9,E15:E22)</f>
        <v>453</v>
      </c>
      <c r="F23" s="1147">
        <f>IF(ISNUMBER(E23/B23),E23/B23," - ")</f>
        <v>226.5</v>
      </c>
      <c r="G23" s="1146">
        <f>SUBTOTAL(9,G15:G22)</f>
        <v>429</v>
      </c>
      <c r="H23" s="1147">
        <f>IF(ISNUMBER(G23/B23),G23/B23," - ")</f>
        <v>214.5</v>
      </c>
      <c r="I23" s="1146">
        <f>SUBTOTAL(9,I15:I22)</f>
        <v>228</v>
      </c>
      <c r="J23" s="1147">
        <f>IF(ISNUMBER(I23/B23),I23/B23," - ")</f>
        <v>114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678</v>
      </c>
      <c r="D31" s="1085" t="str">
        <f>IF(ISNUMBER(C31/Datos!BI31),C31/Datos!BI31," - ")</f>
        <v xml:space="preserve"> - </v>
      </c>
      <c r="E31" s="1084">
        <f>SUBTOTAL(9,E9:E30)</f>
        <v>713</v>
      </c>
      <c r="F31" s="1085">
        <f>IF(ISNUMBER(E31/B31),E31/B31," - ")</f>
        <v>356.5</v>
      </c>
      <c r="G31" s="1084">
        <f>SUBTOTAL(9,G9:G30)</f>
        <v>626</v>
      </c>
      <c r="H31" s="1085">
        <f>IF(ISNUMBER(G31/B31),G31/B31," - ")</f>
        <v>313</v>
      </c>
      <c r="I31" s="1084">
        <f>SUBTOTAL(9,I9:I30)</f>
        <v>767</v>
      </c>
      <c r="J31" s="1085">
        <f>IF(ISNUMBER(I31/B31),I31/B31," - ")</f>
        <v>383.5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STbqQdlBu6VD94xdOj0CVB0BoZIqZlPdFuCLtbS7ynlGkiCfPQKGxu6fgExerBgCU6VsmsMG0ozIjY/zzV/aQ==" saltValue="1QlQiYBybEYcde4fcEcv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CAZORLA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5.4404145077720205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7.6726342710997444E-3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61</v>
      </c>
      <c r="AE14" s="1257">
        <f t="shared" si="1"/>
        <v>0</v>
      </c>
      <c r="AF14" s="1257">
        <f t="shared" si="1"/>
        <v>14</v>
      </c>
      <c r="AG14" s="1257">
        <f t="shared" si="1"/>
        <v>0</v>
      </c>
      <c r="AH14" s="1257">
        <f t="shared" si="1"/>
        <v>394</v>
      </c>
      <c r="AI14" s="1257">
        <f t="shared" si="1"/>
        <v>0</v>
      </c>
      <c r="AJ14" s="1257">
        <f t="shared" si="1"/>
        <v>0</v>
      </c>
      <c r="AK14" s="1257">
        <f t="shared" si="1"/>
        <v>0</v>
      </c>
      <c r="AL14" s="1257">
        <f t="shared" si="1"/>
        <v>30</v>
      </c>
      <c r="AM14" s="1257">
        <f t="shared" si="1"/>
        <v>71</v>
      </c>
      <c r="AN14" s="1257">
        <f t="shared" si="1"/>
        <v>0</v>
      </c>
      <c r="AO14" s="1257">
        <f t="shared" si="1"/>
        <v>0</v>
      </c>
      <c r="AP14" s="1262">
        <f>IF(ISNUMBER(((Datos!L14/Datos!K14)*11)/factor_trimestre),((Datos!L14/Datos!K14)*11)/factor_trimestre," - ")</f>
        <v>6.4150943396226419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7.6726342710997444E-3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1.0629370629370629</v>
      </c>
      <c r="AQ23" s="1262">
        <f>IF(ISNUMBER(((Datos!M23/Datos!L23)*11)/factor_trimestre),((Datos!M23/Datos!L23)*11)/factor_trimestre," - ")</f>
        <v>0.22807017543859648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8.6206896551724144E-2</v>
      </c>
      <c r="AW23" s="1265">
        <f>IF(ISNUMBER((Datos!Q23-Datos!R23)/(Datos!S23-Datos!Q23+Datos!R23)),(Datos!Q23-Datos!R23)/(Datos!S23-Datos!Q23+Datos!R23)," - ")</f>
        <v>-0.19465648854961831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61</v>
      </c>
      <c r="AE31" s="1284">
        <f t="shared" si="9"/>
        <v>0</v>
      </c>
      <c r="AF31" s="1285">
        <f t="shared" si="9"/>
        <v>14</v>
      </c>
      <c r="AG31" s="1285">
        <f t="shared" si="9"/>
        <v>0</v>
      </c>
      <c r="AH31" s="1285">
        <f t="shared" si="9"/>
        <v>394</v>
      </c>
      <c r="AI31" s="1285">
        <f t="shared" si="9"/>
        <v>0</v>
      </c>
      <c r="AJ31" s="1286">
        <f t="shared" si="9"/>
        <v>0</v>
      </c>
      <c r="AK31" s="1286">
        <f t="shared" si="9"/>
        <v>0</v>
      </c>
      <c r="AL31" s="1278">
        <f t="shared" si="9"/>
        <v>30</v>
      </c>
      <c r="AM31" s="1278">
        <f t="shared" si="9"/>
        <v>71</v>
      </c>
      <c r="AN31" s="1278">
        <f t="shared" si="9"/>
        <v>0</v>
      </c>
      <c r="AO31" s="1278">
        <f t="shared" si="9"/>
        <v>0</v>
      </c>
      <c r="AP31" s="1278">
        <f>IF(ISNUMBER(((Datos!L31/Datos!K31)*11)/factor_trimestre),((Datos!L31/Datos!K31)*11)/factor_trimestre," - ")</f>
        <v>2.510204081632653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1.9955654101995565E-2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14.75127113166862</v>
      </c>
      <c r="AM33" s="1006"/>
      <c r="AN33" s="1006">
        <f>IF(ISNUMBER(STDEV(AN8:AN30)),STDEV(AN8:AN30),"-")</f>
        <v>0</v>
      </c>
      <c r="AO33" s="1012">
        <f>IF(ISNUMBER(STDEV(AO8:AO30)),STDEV(AO8:AO30),"-")</f>
        <v>0</v>
      </c>
      <c r="AP33" s="1065">
        <f>IF(ISNUMBER(STDEV(AP8:AP30)),STDEV(AP8:AP30),"-")</f>
        <v>2.6891918694220704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AevU08UHUtmguvm2c0SD8JUOajpmPM/N10uMCYGD1hx1mbe0uSknC+14kE1fs8/Mn2zWxE/xqvutneq7sl7Rw==" saltValue="xz16MKFfxtZ2DQ5u+clE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CAZORLA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Xtm2TQWKg5JUalP9gwhbaP1GvpMieXoMwq0wl9d9nMvkogMN8HXoKa8JiSsQoRxJ3k0OC+u+XAZD9IT3SpvWA==" saltValue="nGkVKnC6UUD+Pl9fCDEI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CAZORLA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v>
      </c>
      <c r="E12" s="452">
        <f t="shared" si="0"/>
        <v>14</v>
      </c>
      <c r="F12" s="451">
        <f>IF(ISNUMBER(Datos!N12),Datos!N12," - ")</f>
        <v>71</v>
      </c>
      <c r="G12" s="452">
        <f t="shared" si="1"/>
        <v>35.5</v>
      </c>
      <c r="H12" s="451">
        <f>IF(ISNUMBER(Datos!O12),Datos!O12," - ")</f>
        <v>154</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v>
      </c>
      <c r="E14" s="1147">
        <f t="shared" si="0"/>
        <v>10</v>
      </c>
      <c r="F14" s="1146">
        <f>SUBTOTAL(9,F9:F13)</f>
        <v>71</v>
      </c>
      <c r="G14" s="1147">
        <f t="shared" si="1"/>
        <v>23.666666666666668</v>
      </c>
      <c r="H14" s="1146">
        <f>SUBTOTAL(9,H9:H13)</f>
        <v>154</v>
      </c>
      <c r="I14" s="1147">
        <f>IF(ISNUMBER(H14/B14),H14/B14," - ")</f>
        <v>51.333333333333336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v>
      </c>
      <c r="E17" s="452">
        <f t="shared" si="3"/>
        <v>9.5</v>
      </c>
      <c r="F17" s="451">
        <f>IF(ISNUMBER(Datos!N17),Datos!N17," - ")</f>
        <v>325</v>
      </c>
      <c r="G17" s="452">
        <f t="shared" si="4"/>
        <v>162.5</v>
      </c>
      <c r="H17" s="451">
        <f>IF(ISNUMBER(Datos!O17),Datos!O17," - ")</f>
        <v>7</v>
      </c>
      <c r="I17" s="452">
        <f t="shared" si="5"/>
        <v>3.5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26</v>
      </c>
      <c r="E23" s="1147">
        <f t="shared" si="3"/>
        <v>8.6666666666666661</v>
      </c>
      <c r="F23" s="1146">
        <f>SUBTOTAL(9,F16:F22)</f>
        <v>329</v>
      </c>
      <c r="G23" s="1147">
        <f t="shared" si="4"/>
        <v>109.66666666666667</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56</v>
      </c>
      <c r="E31" s="1085">
        <f>IF(ISNUMBER(D31/B31),D31/B31," - ")</f>
        <v>28</v>
      </c>
      <c r="F31" s="1084">
        <f>SUBTOTAL(9,F8:F30)</f>
        <v>400</v>
      </c>
      <c r="G31" s="1085">
        <f>IF(ISNUMBER(F31/B31),F31/B31," - ")</f>
        <v>200</v>
      </c>
      <c r="H31" s="1084">
        <f>SUBTOTAL(9,H8:H30)</f>
        <v>161</v>
      </c>
      <c r="I31" s="1085">
        <f>IF(ISNUMBER(H31/B31),H31/B31," - ")</f>
        <v>80.5</v>
      </c>
    </row>
    <row r="34" spans="1:1">
      <c r="A34" s="439" t="str">
        <f>Criterios!A4</f>
        <v>Fecha Informe: 06 may. 2023</v>
      </c>
    </row>
    <row r="39" spans="1:1">
      <c r="A39" s="462"/>
    </row>
  </sheetData>
  <sheetProtection algorithmName="SHA-512" hashValue="vJVp7FbV7BxGMX8SQ4G/1cZdLeLaqMH0+cPQcqyLQRBLC8GcyclA8Qf6xpcATf95RIneGr2Dik+0Rofz23sTvQ==" saltValue="GEtKM5GotNI7Bsg/cqgI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CAZORLA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61</v>
      </c>
      <c r="D12" s="456">
        <f>IF(ISNUMBER(Datos!R12),Datos!R12," - ")</f>
        <v>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61</v>
      </c>
      <c r="D14" s="1148">
        <f>SUBTOTAL(9,D9:D13)</f>
        <v>397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12</v>
      </c>
      <c r="D17" s="456">
        <f>IF(ISNUMBER(Datos!R17),Datos!R17," - ")</f>
        <v>62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12</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73</v>
      </c>
      <c r="D31" s="1090">
        <f>SUBTOTAL(9,D8:D30)</f>
        <v>460</v>
      </c>
    </row>
    <row r="32" spans="1:4" ht="7.5" customHeight="1"/>
    <row r="33" spans="1:1" ht="6" customHeight="1"/>
    <row r="34" spans="1:1">
      <c r="A34" s="439" t="str">
        <f>Criterios!A4</f>
        <v>Fecha Informe: 06 may. 2023</v>
      </c>
    </row>
    <row r="39" spans="1:1">
      <c r="A39" s="462"/>
    </row>
  </sheetData>
  <sheetProtection algorithmName="SHA-512" hashValue="smVCOdT5EiyOkCU5t+axMrsl8eA2tH4HjPHRnUkwDFcOCeoURLegTk0k6H2VEcOpF6GoI8poR1ISAusCW/XAoA==" saltValue="Mn8nHiAPevlzwt4aiHm9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CAZORLA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3</v>
      </c>
      <c r="D10" s="515">
        <f>IF(ISNUMBER((Datos!K10-Datos!U10)/Datos!U10),(Datos!K10-Datos!U10)/Datos!U10," - ")</f>
        <v>1</v>
      </c>
      <c r="E10" s="515">
        <f>IF(ISNUMBER((Datos!L10-Datos!V10)/Datos!V10),(Datos!L10-Datos!V10)/Datos!V10," - ")</f>
        <v>0.75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-0.125</v>
      </c>
      <c r="J10" s="521">
        <f>IF(ISNUMBER((('Resol  Asuntos'!D10/NºAsuntos!G10)-Datos!BF10)/Datos!BF10),(('Resol  Asuntos'!D10/NºAsuntos!G10)-Datos!BF10)/Datos!BF10," - ")</f>
        <v>-0.5</v>
      </c>
      <c r="K10" s="522">
        <f>IF(ISNUMBER((((NºAsuntos!C10+NºAsuntos!E10)/NºAsuntos!G10)-Datos!BG10)/Datos!BG10),(((NºAsuntos!C10+NºAsuntos!E10)/NºAsuntos!G10)-Datos!BG10)/Datos!BG10," - ")</f>
        <v>-0.1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-0.11324376199616124</v>
      </c>
      <c r="C12" s="515">
        <f>IF(ISNUMBER(
   IF(J_V="SI",(Datos!J12-Datos!T12)/Datos!T12,(Datos!J12+Datos!Z12-(Datos!T12+Datos!AH12))/(Datos!T12+Datos!AH12))
     ),IF(J_V="SI",(Datos!J12-Datos!T12)/Datos!T12,(Datos!J12+Datos!Z12-(Datos!T12+Datos!AH12))/(Datos!T12+Datos!AH12))," - ")</f>
        <v>0.35449735449735448</v>
      </c>
      <c r="D12" s="515">
        <f>IF(ISNUMBER(
   IF(J_V="SI",(Datos!K12-Datos!U12)/Datos!U12,(Datos!K12+Datos!AA12-(Datos!U12+Datos!AI12))/(Datos!U12+Datos!AI12))
     ),IF(J_V="SI",(Datos!K12-Datos!U12)/Datos!U12,(Datos!K12+Datos!AA12-(Datos!U12+Datos!AI12))/(Datos!U12+Datos!AI12))," - ")</f>
        <v>5.208333333333333E-3</v>
      </c>
      <c r="E12" s="515">
        <f>IF(ISNUMBER(
   IF(J_V="SI",(Datos!L12-Datos!V12)/Datos!V12,(Datos!L12+Datos!AB12-(Datos!V12+Datos!AJ12))/(Datos!V12+Datos!AJ12))
     ),IF(J_V="SI",(Datos!L12-Datos!V12)/Datos!V12,(Datos!L12+Datos!AB12-(Datos!V12+Datos!AJ12))/(Datos!V12+Datos!AJ12))," - ")</f>
        <v>1.3513513513513514E-2</v>
      </c>
      <c r="F12" s="515">
        <f>IF(ISNUMBER((Datos!M12-Datos!W12)/Datos!W12),(Datos!M12-Datos!W12)/Datos!W12," - ")</f>
        <v>-0.24324324324324326</v>
      </c>
      <c r="G12" s="516">
        <f>IF(ISNUMBER((Datos!N12-Datos!X12)/Datos!X12),(Datos!N12-Datos!X12)/Datos!X12," - ")</f>
        <v>0.57777777777777772</v>
      </c>
      <c r="H12" s="514">
        <f>IF(ISNUMBER(((NºAsuntos!G12/NºAsuntos!E12)-Datos!BD12)/Datos!BD12),((NºAsuntos!G12/NºAsuntos!E12)-Datos!BD12)/Datos!BD12," - ")</f>
        <v>-0.25787353515624994</v>
      </c>
      <c r="I12" s="515">
        <f>IF(ISNUMBER(((NºAsuntos!I12/NºAsuntos!G12)-Datos!BE12)/Datos!BE12),((NºAsuntos!I12/NºAsuntos!G12)-Datos!BE12)/Datos!BE12," - ")</f>
        <v>8.2621481585212313E-3</v>
      </c>
      <c r="J12" s="521">
        <f>IF(ISNUMBER((('Resol  Asuntos'!D12/NºAsuntos!G12)-Datos!BF12)/Datos!BF12),(('Resol  Asuntos'!D12/NºAsuntos!G12)-Datos!BF12)/Datos!BF12," - ")</f>
        <v>-0.38100172711571678</v>
      </c>
      <c r="K12" s="522">
        <f>IF(ISNUMBER((((NºAsuntos!C12+NºAsuntos!E12)/NºAsuntos!G12)-Datos!BG12)/Datos!BG12),(((NºAsuntos!C12+NºAsuntos!E12)/NºAsuntos!G12)-Datos!BG12)/Datos!BG12," - ")</f>
        <v>6.0278771072028135E-3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-0.10188679245283019</v>
      </c>
      <c r="C14" s="1152">
        <f>IF(ISNUMBER(
   IF(J_V="SI",(Datos!J14-Datos!T14)/Datos!T14,(Datos!J14+Datos!Z14-(Datos!T14+Datos!AH14))/(Datos!T14+Datos!AH14))
     ),IF(J_V="SI",(Datos!J14-Datos!T14)/Datos!T14,(Datos!J14+Datos!Z14-(Datos!T14+Datos!AH14))/(Datos!T14+Datos!AH14))," - ")</f>
        <v>0.36842105263157893</v>
      </c>
      <c r="D14" s="1152">
        <f>IF(ISNUMBER(
   IF(J_V="SI",(Datos!K14-Datos!U14)/Datos!U14,(Datos!K14+Datos!AA14-(Datos!U14+Datos!AI14))/(Datos!U14+Datos!AI14))
     ),IF(J_V="SI",(Datos!K14-Datos!U14)/Datos!U14,(Datos!K14+Datos!AA14-(Datos!U14+Datos!AI14))/(Datos!U14+Datos!AI14))," - ")</f>
        <v>1.5463917525773196E-2</v>
      </c>
      <c r="E14" s="1152">
        <f>IF(ISNUMBER(
   IF(J_V="SI",(Datos!L14-Datos!V14)/Datos!V14,(Datos!L14+Datos!AB14-(Datos!V14+Datos!AJ14))/(Datos!V14+Datos!AJ14))
     ),IF(J_V="SI",(Datos!L14-Datos!V14)/Datos!V14,(Datos!L14+Datos!AB14-(Datos!V14+Datos!AJ14))/(Datos!V14+Datos!AJ14))," - ")</f>
        <v>2.4714828897338403E-2</v>
      </c>
      <c r="F14" s="1153">
        <f>IF(ISNUMBER((Datos!M14-Datos!W14)/Datos!W14),(Datos!M14-Datos!W14)/Datos!W14," - ")</f>
        <v>-0.23076923076923078</v>
      </c>
      <c r="G14" s="1154">
        <f>IF(ISNUMBER((Datos!N14-Datos!X14)/Datos!X14),(Datos!N14-Datos!X14)/Datos!X14," - ")</f>
        <v>0.57777777777777772</v>
      </c>
      <c r="H14" s="1154">
        <f>IF(ISNUMBER(((NºAsuntos!G14/NºAsuntos!E14)-Datos!BD14)/Datos!BD14),((NºAsuntos!G14/NºAsuntos!E14)-Datos!BD14)/Datos!BD14," - ")</f>
        <v>-0.25793021411578121</v>
      </c>
      <c r="I14" s="1154">
        <f>IF(ISNUMBER(((NºAsuntos!I14/NºAsuntos!G14)-Datos!BE14)/Datos!BE14),((NºAsuntos!I14/NºAsuntos!G14)-Datos!BE14)/Datos!BE14," - ")</f>
        <v>9.1100345486479547E-3</v>
      </c>
      <c r="J14" s="1154">
        <f>IF(ISNUMBER((('Resol  Asuntos'!D14/NºAsuntos!G14)-Datos!BF14)/Datos!BF14),(('Resol  Asuntos'!D14/NºAsuntos!G14)-Datos!BF14)/Datos!BF14," - ")</f>
        <v>-0.3714223998271951</v>
      </c>
      <c r="K14" s="1154">
        <f>IF(ISNUMBER((((NºAsuntos!C14+NºAsuntos!E14)/NºAsuntos!G14)-Datos!BG14)/Datos!BG14),(((NºAsuntos!C14+NºAsuntos!E14)/NºAsuntos!G14)-Datos!BG14)/Datos!BG14," - ")</f>
        <v>6.6553863508178115E-3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-5.8510638297872342E-2</v>
      </c>
      <c r="C17" s="515">
        <f>IF(ISNUMBER(
   IF(D_I="SI",(Datos!J17-Datos!T17)/Datos!T17,(Datos!J17+Datos!AD17-(Datos!T17+Datos!AL17))/(Datos!T17+Datos!AL17))
     ),IF(D_I="SI",(Datos!J17-Datos!T17)/Datos!T17,(Datos!J17+Datos!AD17-(Datos!T17+Datos!AL17))/(Datos!T17+Datos!AL17))," - ")</f>
        <v>0.60073260073260071</v>
      </c>
      <c r="D17" s="515">
        <f>IF(ISNUMBER(
   IF(D_I="SI",(Datos!K17-Datos!U17)/Datos!U17,(Datos!K17+Datos!AE17-(Datos!U17+Datos!AM17))/(Datos!U17+Datos!AM17))
     ),IF(D_I="SI",(Datos!K17-Datos!U17)/Datos!U17,(Datos!K17+Datos!AE17-(Datos!U17+Datos!AM17))/(Datos!U17+Datos!AM17))," - ")</f>
        <v>0.88181818181818183</v>
      </c>
      <c r="E17" s="515">
        <f>IF(ISNUMBER(
   IF(D_I="SI",(Datos!L17-Datos!V17)/Datos!V17,(Datos!L17+Datos!AF17-(Datos!V17+Datos!AN17))/(Datos!V17+Datos!AN17))
     ),IF(D_I="SI",(Datos!L17-Datos!V17)/Datos!V17,(Datos!L17+Datos!AF17-(Datos!V17+Datos!AN17))/(Datos!V17+Datos!AN17))," - ")</f>
        <v>-0.16182572614107885</v>
      </c>
      <c r="F17" s="515">
        <f>IF(ISNUMBER((Datos!M17-Datos!W17)/Datos!W17),(Datos!M17-Datos!W17)/Datos!W17," - ")</f>
        <v>-0.26923076923076922</v>
      </c>
      <c r="G17" s="516">
        <f>IF(ISNUMBER((Datos!N17-Datos!X17)/Datos!X17),(Datos!N17-Datos!X17)/Datos!X17," - ")</f>
        <v>1.3722627737226278</v>
      </c>
      <c r="H17" s="514">
        <f>IF(ISNUMBER(((NºAsuntos!G17/NºAsuntos!E17)-Datos!BD17)/Datos!BD17),((NºAsuntos!G17/NºAsuntos!E17)-Datos!BD17)/Datos!BD17," - ")</f>
        <v>0.17559808612440181</v>
      </c>
      <c r="I17" s="515">
        <f>IF(ISNUMBER(((NºAsuntos!I17/NºAsuntos!G17)-Datos!BE17)/Datos!BE17),((NºAsuntos!I17/NºAsuntos!G17)-Datos!BE17)/Datos!BE17," - ")</f>
        <v>-0.55459338104115308</v>
      </c>
      <c r="J17" s="521">
        <f>IF(ISNUMBER((('Resol  Asuntos'!D17/NºAsuntos!G17)-Datos!BF17)/Datos!BF17),(('Resol  Asuntos'!D17/NºAsuntos!G17)-Datos!BF17)/Datos!BF17," - ")</f>
        <v>-0.61166852471200295</v>
      </c>
      <c r="K17" s="522">
        <f>IF(ISNUMBER((((NºAsuntos!C17+NºAsuntos!E17)/NºAsuntos!G17)-Datos!BG17)/Datos!BG17),(((NºAsuntos!C17+NºAsuntos!E17)/NºAsuntos!G17)-Datos!BG17)/Datos!BG17," - ")</f>
        <v>-0.29223385415029285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8.6956521739130432E-2</v>
      </c>
      <c r="C18" s="515">
        <f>IF(ISNUMBER(
   IF(D_I="SI",(Datos!J18-Datos!T18)/Datos!T18,(Datos!J18+Datos!AD18-(Datos!T18+Datos!AL18))/(Datos!T18+Datos!AL18))
     ),IF(D_I="SI",(Datos!J18-Datos!T18)/Datos!T18,(Datos!J18+Datos!AD18-(Datos!T18+Datos!AL18))/(Datos!T18+Datos!AL18))," - ")</f>
        <v>-0.46666666666666667</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-0.21212121212121213</v>
      </c>
      <c r="F18" s="515">
        <f>IF(ISNUMBER((Datos!M18-Datos!W18)/Datos!W18),(Datos!M18-Datos!W18)/Datos!W18," - ")</f>
        <v>0.75</v>
      </c>
      <c r="G18" s="516">
        <f>IF(ISNUMBER((Datos!N18-Datos!X18)/Datos!X18),(Datos!N18-Datos!X18)/Datos!X18," - ")</f>
        <v>-0.69230769230769229</v>
      </c>
      <c r="H18" s="514">
        <f>IF(ISNUMBER(((NºAsuntos!G18/NºAsuntos!E18)-Datos!BD18)/Datos!BD18),((NºAsuntos!G18/NºAsuntos!E18)-Datos!BD18)/Datos!BD18," - ")</f>
        <v>0.40625000000000006</v>
      </c>
      <c r="I18" s="515">
        <f>IF(ISNUMBER(((NºAsuntos!I18/NºAsuntos!G18)-Datos!BE18)/Datos!BE18),((NºAsuntos!I18/NºAsuntos!G18)-Datos!BE18)/Datos!BE18," - ")</f>
        <v>5.0505050505050594E-2</v>
      </c>
      <c r="J18" s="521">
        <f>IF(ISNUMBER((('Resol  Asuntos'!D18/NºAsuntos!G18)-Datos!BF18)/Datos!BF18),(('Resol  Asuntos'!D18/NºAsuntos!G18)-Datos!BF18)/Datos!BF18," - ")</f>
        <v>1.3333333333333333</v>
      </c>
      <c r="K18" s="522">
        <f>IF(ISNUMBER((((NºAsuntos!C18+NºAsuntos!E18)/NºAsuntos!G18)-Datos!BG18)/Datos!BG18),(((NºAsuntos!C18+NºAsuntos!E18)/NºAsuntos!G18)-Datos!BG18)/Datos!BG18," - ")</f>
        <v>3.14465408805032E-2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-4.2654028436018961E-2</v>
      </c>
      <c r="C23" s="1152">
        <f>IF(ISNUMBER(
   IF(Criterios!B14="SI",(Datos!J23-Datos!T23)/Datos!T23,(Datos!J23+Datos!AD23-(Datos!T23+Datos!AL23))/(Datos!T23+Datos!AL23))
     ),IF(Criterios!B14="SI",(Datos!J23-Datos!T23)/Datos!T23,(Datos!J23+Datos!AD23-(Datos!T23+Datos!AL23))/(Datos!T23+Datos!AL23))," - ")</f>
        <v>0.49504950495049505</v>
      </c>
      <c r="D23" s="1152">
        <f>IF(ISNUMBER(
   IF(Criterios!B14="SI",(Datos!K23-Datos!U23)/Datos!U23,(Datos!K23+Datos!AE23-(Datos!U23+Datos!AM23))/(Datos!U23+Datos!AM23))
     ),IF(Criterios!B14="SI",(Datos!K23-Datos!U23)/Datos!U23,(Datos!K23+Datos!AE23-(Datos!U23+Datos!AM23))/(Datos!U23+Datos!AM23))," - ")</f>
        <v>0.78749999999999998</v>
      </c>
      <c r="E23" s="1152">
        <f>IF(ISNUMBER(
   IF(Criterios!B14="SI",(Datos!L23-Datos!V23)/Datos!V23,(Datos!L23+Datos!AF23-(Datos!V23+Datos!AN23))/(Datos!V23+Datos!AN23))
     ),IF(Criterios!B14="SI",(Datos!L23-Datos!V23)/Datos!V23,(Datos!L23+Datos!AF23-(Datos!V23+Datos!AN23))/(Datos!V23+Datos!AN23))," - ")</f>
        <v>-0.16788321167883211</v>
      </c>
      <c r="F23" s="1153">
        <f>IF(ISNUMBER((Datos!M23-Datos!W23)/Datos!W23),(Datos!M23-Datos!W23)/Datos!W23," - ")</f>
        <v>-0.13333333333333333</v>
      </c>
      <c r="G23" s="1154">
        <f>IF(ISNUMBER((Datos!N23-Datos!X23)/Datos!X23),(Datos!N23-Datos!X23)/Datos!X23," - ")</f>
        <v>1.1933333333333334</v>
      </c>
      <c r="H23" s="1154">
        <f>IF(ISNUMBER(((NºAsuntos!G23/NºAsuntos!E23)-Datos!BD23)/Datos!BD23),((NºAsuntos!G23/NºAsuntos!E23)-Datos!BD23)/Datos!BD23," - ")</f>
        <v>0.19561258278145682</v>
      </c>
      <c r="I23" s="1154">
        <f>IF(ISNUMBER(((NºAsuntos!I23/NºAsuntos!G23)-Datos!BE23)/Datos!BE23),((NºAsuntos!I23/NºAsuntos!G23)-Datos!BE23)/Datos!BE23," - ")</f>
        <v>-0.53448011842172427</v>
      </c>
      <c r="J23" s="1154">
        <f>IF(ISNUMBER((('Resol  Asuntos'!D23/NºAsuntos!G23)-Datos!BF23)/Datos!BF23),(('Resol  Asuntos'!D23/NºAsuntos!G23)-Datos!BF23)/Datos!BF23," - ")</f>
        <v>-0.51515151515151514</v>
      </c>
      <c r="K23" s="1154">
        <f>IF(ISNUMBER((((NºAsuntos!C23+NºAsuntos!E23)/NºAsuntos!G23)-Datos!BG23)/Datos!BG23),(((NºAsuntos!C23+NºAsuntos!E23)/NºAsuntos!G23)-Datos!BG23)/Datos!BG23," - ")</f>
        <v>-0.28709422872847001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-8.5020242914979755E-2</v>
      </c>
      <c r="C31" s="1092">
        <f>IF(ISNUMBER(
   IF(J_V="SI",(Datos!J31-Datos!T31)/Datos!T31,(Datos!J31+Datos!Z31-(Datos!T31+Datos!AH31))/(Datos!T31+Datos!AH31))
     ),IF(J_V="SI",(Datos!J31-Datos!T31)/Datos!T31,(Datos!J31+Datos!Z31-(Datos!T31+Datos!AH31))/(Datos!T31+Datos!AH31))," - ")</f>
        <v>0.44624746450304259</v>
      </c>
      <c r="D31" s="1092">
        <f>IF(ISNUMBER(
   IF(J_V="SI",(Datos!K31-Datos!U31)/Datos!U31,(Datos!K31+Datos!AA31-(Datos!U31+Datos!AI31))/(Datos!U31+Datos!AI31))
     ),IF(J_V="SI",(Datos!K31-Datos!U31)/Datos!U31,(Datos!K31+Datos!AA31-(Datos!U31+Datos!AI31))/(Datos!U31+Datos!AI31))," - ")</f>
        <v>0.44239631336405533</v>
      </c>
      <c r="E31" s="1092">
        <f>IF(ISNUMBER(
   IF(J_V="SI",(Datos!L31-Datos!V31)/Datos!V31,(Datos!L31+Datos!AB31-(Datos!V31+Datos!AJ31))/(Datos!V31+Datos!AJ31))
     ),IF(J_V="SI",(Datos!L31-Datos!V31)/Datos!V31,(Datos!L31+Datos!AB31-(Datos!V31+Datos!AJ31))/(Datos!V31+Datos!AJ31))," - ")</f>
        <v>-4.1250000000000002E-2</v>
      </c>
      <c r="F31" s="1093">
        <f>IF(ISNUMBER((Datos!M31-Datos!W31)/Datos!W31),(Datos!M31-Datos!W31)/Datos!W31," - ")</f>
        <v>-0.18840579710144928</v>
      </c>
      <c r="G31" s="1094">
        <f>IF(ISNUMBER((Datos!N31-Datos!X31)/Datos!X31),(Datos!N31-Datos!X31)/Datos!X31," - ")</f>
        <v>1.0512820512820513</v>
      </c>
      <c r="H31" s="1095">
        <f>IF(ISNUMBER((Tasas!B31-Datos!BD31)/Datos!BD31),(Tasas!B31-Datos!BD31)/Datos!BD31," - ")</f>
        <v>-2.6628576599168649E-3</v>
      </c>
      <c r="I31" s="1096">
        <f>IF(ISNUMBER((Tasas!C31-Datos!BE31)/Datos!BE31),(Tasas!C31-Datos!BE31)/Datos!BE31," - ")</f>
        <v>-0.33530750798722048</v>
      </c>
      <c r="J31" s="1097">
        <f>IF(ISNUMBER((Tasas!D31-Datos!BF31)/Datos!BF31),(Tasas!D31-Datos!BF31)/Datos!BF31," - ")</f>
        <v>-0.49578855649143194</v>
      </c>
      <c r="K31" s="1097">
        <f>IF(ISNUMBER((Tasas!E31-Datos!BG31)/Datos!BG31),(Tasas!E31-Datos!BG31)/Datos!BG31," - ")</f>
        <v>-0.21850290750358589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MJ7l7Jur7fghOy4Qn8wBqADbz6xRB56C84pUlAsKA+AC7Sk7KldKegHGIpgm85V1JAyqioyMaPHUN9PcM9Jew==" saltValue="oSRjlwYHsC3D14XPMvdV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CAZORLA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3.5</v>
      </c>
      <c r="D10" s="499">
        <f>IF(ISNUMBER('Resol  Asuntos'!D10/NºAsuntos!G10),'Resol  Asuntos'!D10/NºAsuntos!G10," - ")</f>
        <v>0.5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0.75390625</v>
      </c>
      <c r="C12" s="498">
        <f>IF(ISNUMBER(NºAsuntos!I12/NºAsuntos!G12),NºAsuntos!I12/NºAsuntos!G12," - ")</f>
        <v>2.7202072538860103</v>
      </c>
      <c r="D12" s="499">
        <f>IF(ISNUMBER('Resol  Asuntos'!D12/NºAsuntos!G12),'Resol  Asuntos'!D12/NºAsuntos!G12," - ")</f>
        <v>0.14507772020725387</v>
      </c>
      <c r="E12" s="500">
        <f>IF(ISNUMBER((NºAsuntos!C12+NºAsuntos!E12)/NºAsuntos!G12),(NºAsuntos!C12+NºAsuntos!E12)/NºAsuntos!G12," - ")</f>
        <v>3.7202072538860103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0.75769230769230766</v>
      </c>
      <c r="C14" s="1156">
        <f>IF(ISNUMBER(NºAsuntos!I14/NºAsuntos!G14),NºAsuntos!I14/NºAsuntos!G14," - ")</f>
        <v>2.7360406091370559</v>
      </c>
      <c r="D14" s="1157">
        <f>IF(ISNUMBER('Resol  Asuntos'!D14/NºAsuntos!G14),'Resol  Asuntos'!D14/NºAsuntos!G14," - ")</f>
        <v>0.15228426395939088</v>
      </c>
      <c r="E14" s="1158">
        <f>IF(ISNUMBER((NºAsuntos!C14+NºAsuntos!E14)/NºAsuntos!G14),(NºAsuntos!C14+NºAsuntos!E14)/NºAsuntos!G14," - ")</f>
        <v>3.7360406091370559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0.94736842105263153</v>
      </c>
      <c r="C17" s="498">
        <f>IF(ISNUMBER(NºAsuntos!I17/NºAsuntos!G17),NºAsuntos!I17/NºAsuntos!G17," - ")</f>
        <v>0.48792270531400966</v>
      </c>
      <c r="D17" s="499">
        <f>IF(ISNUMBER('Resol  Asuntos'!D17/NºAsuntos!G17),'Resol  Asuntos'!D17/NºAsuntos!G17," - ")</f>
        <v>4.5893719806763288E-2</v>
      </c>
      <c r="E17" s="500">
        <f>IF(ISNUMBER((NºAsuntos!C17+NºAsuntos!E17)/NºAsuntos!G17),(NºAsuntos!C17+NºAsuntos!E17)/NºAsuntos!G17," - ")</f>
        <v>1.4830917874396135</v>
      </c>
      <c r="G17" s="523"/>
    </row>
    <row r="18" spans="1:7">
      <c r="A18" s="450" t="str">
        <f>Datos!A18</f>
        <v>Jdos. Violencia contra la mujer</v>
      </c>
      <c r="B18" s="497">
        <f>IF(ISNUMBER(NºAsuntos!G18/NºAsuntos!E18),NºAsuntos!G18/NºAsuntos!E18," - ")</f>
        <v>0.9375</v>
      </c>
      <c r="C18" s="498">
        <f>IF(ISNUMBER(NºAsuntos!I18/NºAsuntos!G18),NºAsuntos!I18/NºAsuntos!G18," - ")</f>
        <v>1.7333333333333334</v>
      </c>
      <c r="D18" s="499">
        <f>IF(ISNUMBER('Resol  Asuntos'!D18/NºAsuntos!G18),'Resol  Asuntos'!D18/NºAsuntos!G18," - ")</f>
        <v>0.46666666666666667</v>
      </c>
      <c r="E18" s="500">
        <f>IF(ISNUMBER((NºAsuntos!C18+NºAsuntos!E18)/NºAsuntos!G18),(NºAsuntos!C18+NºAsuntos!E18)/NºAsuntos!G18," - ")</f>
        <v>2.7333333333333334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0.94701986754966883</v>
      </c>
      <c r="C23" s="1156">
        <f>IF(ISNUMBER(NºAsuntos!I23/NºAsuntos!G23),NºAsuntos!I23/NºAsuntos!G23," - ")</f>
        <v>0.53146853146853146</v>
      </c>
      <c r="D23" s="1159">
        <f>IF(ISNUMBER('Resol  Asuntos'!D23/NºAsuntos!G23),'Resol  Asuntos'!D23/NºAsuntos!G23," - ")</f>
        <v>6.0606060606060608E-2</v>
      </c>
      <c r="E23" s="1158">
        <f>IF(ISNUMBER((NºAsuntos!C23+NºAsuntos!E23)/NºAsuntos!G23),(NºAsuntos!C23+NºAsuntos!E23)/NºAsuntos!G23," - ")</f>
        <v>1.5268065268065267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0.87798036465638152</v>
      </c>
      <c r="C31" s="1099">
        <f>IF(ISNUMBER(NºAsuntos!I31/NºAsuntos!G31),NºAsuntos!I31/NºAsuntos!G31," - ")</f>
        <v>1.2252396166134185</v>
      </c>
      <c r="D31" s="1100">
        <f>IF(ISNUMBER('Resol  Asuntos'!D31/NºAsuntos!G31),'Resol  Asuntos'!D31/NºAsuntos!G31," - ")</f>
        <v>8.9456869009584661E-2</v>
      </c>
      <c r="E31" s="1101">
        <f>IF(ISNUMBER((NºAsuntos!C31+NºAsuntos!E31)/NºAsuntos!G31),(NºAsuntos!C31+NºAsuntos!E31)/NºAsuntos!G31," - ")</f>
        <v>2.2220447284345046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V4blHIQIL0bKzA1FItxu9z8yLG5xhrDl0QcpjMs0dHlRkX9lHVIrz8Uikv1RpnjeEtl28mFdJeqfPfKwQnQlw==" saltValue="swaDgneBd3Ekdd7+11lI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CAZORLA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14</v>
      </c>
      <c r="AB10" s="374">
        <f>IF(ISNUMBER(Datos!R10),Datos!R10," - ")</f>
        <v>3</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v>
      </c>
      <c r="AN10" s="267">
        <f>IF(ISNUMBER('Resol  Asuntos'!D10/NºAsuntos!G10),'Resol  Asuntos'!D10/NºAsuntos!G10," - ")</f>
        <v>0.5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0.75390625</v>
      </c>
      <c r="AM12" s="284">
        <f>IF(ISNUMBER(((NºAsuntos!I12/NºAsuntos!G12)*11)/factor_trimestre),((NºAsuntos!I12/NºAsuntos!G12)*11)/factor_trimestre," - ")</f>
        <v>5.4404145077720205</v>
      </c>
      <c r="AN12" s="267">
        <f>IF(ISNUMBER('Resol  Asuntos'!D12/NºAsuntos!G12),'Resol  Asuntos'!D12/NºAsuntos!G12," - ")</f>
        <v>0.14507772020725387</v>
      </c>
      <c r="AO12" s="268">
        <f>IF(ISNUMBER((NºAsuntos!C12+NºAsuntos!E12)/NºAsuntos!G12),(NºAsuntos!C12+NºAsuntos!E12)/NºAsuntos!G12," - ")</f>
        <v>3.7202072538860103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61</v>
      </c>
      <c r="Y14" s="1165">
        <f t="shared" si="6"/>
        <v>65</v>
      </c>
      <c r="Z14" s="1165">
        <f t="shared" si="6"/>
        <v>0</v>
      </c>
      <c r="AA14" s="1165">
        <f t="shared" si="6"/>
        <v>14</v>
      </c>
      <c r="AB14" s="1165">
        <f t="shared" si="6"/>
        <v>397</v>
      </c>
      <c r="AC14" s="1165">
        <f t="shared" si="6"/>
        <v>17</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0.75769230769230766</v>
      </c>
      <c r="AM14" s="1171">
        <f>IF(ISNUMBER(((NºAsuntos!I14/NºAsuntos!G14)*11)/factor_trimestre),((NºAsuntos!I14/NºAsuntos!G14)*11)/factor_trimestre," - ")</f>
        <v>5.4720812182741119</v>
      </c>
      <c r="AN14" s="1172">
        <f>IF(ISNUMBER('Resol  Asuntos'!D14/NºAsuntos!G14),'Resol  Asuntos'!D14/NºAsuntos!G14," - ")</f>
        <v>0.15228426395939088</v>
      </c>
      <c r="AO14" s="1173">
        <f>IF(ISNUMBER((NºAsuntos!C14+NºAsuntos!E14)/NºAsuntos!G14),(NºAsuntos!C14+NºAsuntos!E14)/NºAsuntos!G14," - ")</f>
        <v>3.7360406091370559</v>
      </c>
      <c r="AP14" s="1174" t="str">
        <f t="shared" si="2"/>
        <v xml:space="preserve"> - </v>
      </c>
      <c r="AQ14" s="1174">
        <f>IF(ISNUMBER((H14-W14+K14)/(F14)),(H14-W14+K14)/(F14)," - ")</f>
        <v>-0.2857142857142857</v>
      </c>
      <c r="AR14" s="1175">
        <f>IF(ISNUMBER((Datos!P14-Datos!Q14)/(Datos!R14-Datos!P14+Datos!Q14)),(Datos!P14-Datos!Q14)/(Datos!R14-Datos!P14+Datos!Q14)," - ")</f>
        <v>1.0178117048346057E-2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179</v>
      </c>
      <c r="G17" s="373">
        <f>IF(ISNUMBER(IF(D_I="SI",Datos!I17,Datos!I17+Datos!AC17)),IF(D_I="SI",Datos!I17,Datos!I17+Datos!AC17)," - ")</f>
        <v>177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414</v>
      </c>
      <c r="X17" s="240">
        <f>IF(ISNUMBER(Datos!Q17),Datos!Q17," - ")</f>
        <v>12</v>
      </c>
      <c r="Y17" s="374">
        <f t="shared" ref="Y17:Y22" si="9">SUM(W17:X17)</f>
        <v>426</v>
      </c>
      <c r="Z17" s="375" t="str">
        <f>IF(ISNUMBER(Datos!CC17),Datos!CC17," - ")</f>
        <v xml:space="preserve"> - </v>
      </c>
      <c r="AA17" s="372">
        <f>IF(ISNUMBER(IF(D_I="SI",Datos!L17,Datos!L17+Datos!AF17)),IF(D_I="SI",Datos!L17,Datos!L17+Datos!AF17)," - ")</f>
        <v>202</v>
      </c>
      <c r="AB17" s="374">
        <f>IF(ISNUMBER(Datos!R17),Datos!R17," - ")</f>
        <v>62</v>
      </c>
      <c r="AC17" s="374">
        <f t="shared" si="8"/>
        <v>264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0.94736842105263153</v>
      </c>
      <c r="AM17" s="284">
        <f>IF(ISNUMBER(((NºAsuntos!I17/NºAsuntos!G17)*11)/factor_trimestre),((NºAsuntos!I17/NºAsuntos!G17)*11)/factor_trimestre," - ")</f>
        <v>0.97584541062801933</v>
      </c>
      <c r="AN17" s="267">
        <f>IF(ISNUMBER('Resol  Asuntos'!D17/NºAsuntos!G17),'Resol  Asuntos'!D17/NºAsuntos!G17," - ")</f>
        <v>4.5893719806763288E-2</v>
      </c>
      <c r="AO17" s="268">
        <f>IF(ISNUMBER((NºAsuntos!C17+NºAsuntos!E17)/NºAsuntos!G17),(NºAsuntos!C17+NºAsuntos!E17)/NºAsuntos!G17," - ")</f>
        <v>1.4830917874396135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26</v>
      </c>
      <c r="AB18" s="374">
        <f>IF(ISNUMBER(Datos!R18),Datos!R18," - ")</f>
        <v>1</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0.9375</v>
      </c>
      <c r="AM18" s="284">
        <f>IF(ISNUMBER(((NºAsuntos!I18/NºAsuntos!G18)*11)/factor_trimestre),((NºAsuntos!I18/NºAsuntos!G18)*11)/factor_trimestre," - ")</f>
        <v>3.4666666666666668</v>
      </c>
      <c r="AN18" s="267">
        <f>IF(ISNUMBER('Resol  Asuntos'!D18/NºAsuntos!G18),'Resol  Asuntos'!D18/NºAsuntos!G18," - ")</f>
        <v>0.46666666666666667</v>
      </c>
      <c r="AO18" s="268">
        <f>IF(ISNUMBER((NºAsuntos!C18+NºAsuntos!E18)/NºAsuntos!G18),(NºAsuntos!C18+NºAsuntos!E18)/NºAsuntos!G18," - ")</f>
        <v>2.7333333333333334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179</v>
      </c>
      <c r="G23" s="1163">
        <f>SUBTOTAL(9,G16:G22)</f>
        <v>202</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429</v>
      </c>
      <c r="X23" s="1164">
        <f t="shared" si="14"/>
        <v>12</v>
      </c>
      <c r="Y23" s="1165">
        <f t="shared" si="14"/>
        <v>441</v>
      </c>
      <c r="Z23" s="1165">
        <f t="shared" si="14"/>
        <v>0</v>
      </c>
      <c r="AA23" s="1165">
        <f t="shared" si="14"/>
        <v>228</v>
      </c>
      <c r="AB23" s="1165">
        <f t="shared" si="14"/>
        <v>63</v>
      </c>
      <c r="AC23" s="1165">
        <f t="shared" si="14"/>
        <v>291</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0.94701986754966883</v>
      </c>
      <c r="AM23" s="1171">
        <f>IF(ISNUMBER(((NºAsuntos!I23/NºAsuntos!G23)*11)/factor_trimestre),((NºAsuntos!I23/NºAsuntos!G23)*11)/factor_trimestre," - ")</f>
        <v>1.0629370629370629</v>
      </c>
      <c r="AN23" s="1172">
        <f>IF(ISNUMBER('Resol  Asuntos'!D23/NºAsuntos!G23),'Resol  Asuntos'!D23/NºAsuntos!G23," - ")</f>
        <v>6.0606060606060608E-2</v>
      </c>
      <c r="AO23" s="1173">
        <f>IF(ISNUMBER((NºAsuntos!C23+NºAsuntos!E23)/NºAsuntos!G23),(NºAsuntos!C23+NºAsuntos!E23)/NºAsuntos!G23," - ")</f>
        <v>1.5268065268065267</v>
      </c>
      <c r="AP23" s="1174" t="str">
        <f t="shared" si="2"/>
        <v xml:space="preserve"> - </v>
      </c>
      <c r="AQ23" s="1174">
        <f>IF(ISNUMBER((H23-W23+K23)/(F23)),(H23-W23+K23)/(F23)," - ")</f>
        <v>-2.3966480446927374</v>
      </c>
      <c r="AR23" s="1175">
        <f>IF(ISNUMBER((Datos!P23-Datos!Q23)/(Datos!R23-Datos!P23+Datos!Q23)),(Datos!P23-Datos!Q23)/(Datos!R23-Datos!P23+Datos!Q23)," - ")</f>
        <v>8.6206896551724144E-2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193</v>
      </c>
      <c r="G31" s="1118">
        <f t="shared" si="20"/>
        <v>216</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433</v>
      </c>
      <c r="X31" s="1118">
        <f t="shared" si="21"/>
        <v>73</v>
      </c>
      <c r="Y31" s="1125">
        <f t="shared" si="21"/>
        <v>506</v>
      </c>
      <c r="Z31" s="1125">
        <f t="shared" si="21"/>
        <v>0</v>
      </c>
      <c r="AA31" s="1125">
        <f t="shared" si="21"/>
        <v>242</v>
      </c>
      <c r="AB31" s="1125">
        <f t="shared" si="21"/>
        <v>460</v>
      </c>
      <c r="AC31" s="1125">
        <f t="shared" si="21"/>
        <v>308</v>
      </c>
      <c r="AD31" s="1125">
        <f t="shared" si="21"/>
        <v>0</v>
      </c>
      <c r="AE31" s="1127">
        <f t="shared" si="21"/>
        <v>0</v>
      </c>
      <c r="AF31" s="1128">
        <f t="shared" si="21"/>
        <v>0</v>
      </c>
      <c r="AG31" s="1129">
        <f t="shared" si="21"/>
        <v>0</v>
      </c>
      <c r="AH31" s="1127">
        <f t="shared" si="21"/>
        <v>0</v>
      </c>
      <c r="AI31" s="1117">
        <f t="shared" si="21"/>
        <v>56</v>
      </c>
      <c r="AJ31" s="1117">
        <f t="shared" si="21"/>
        <v>0</v>
      </c>
      <c r="AK31" s="1127">
        <f t="shared" si="21"/>
        <v>0</v>
      </c>
      <c r="AL31" s="1183">
        <f>IF(ISNUMBER(NºAsuntos!G31/NºAsuntos!E31),NºAsuntos!G31/NºAsuntos!E31," - ")</f>
        <v>0.87798036465638152</v>
      </c>
      <c r="AM31" s="1184">
        <f>IF(ISNUMBER(((NºAsuntos!I31/NºAsuntos!G31)*11)/factor_trimestre),((NºAsuntos!I31/NºAsuntos!G31)*11)/factor_trimestre," - ")</f>
        <v>2.450479233226837</v>
      </c>
      <c r="AN31" s="1184">
        <f>IF(ISNUMBER('Resol  Asuntos'!D31/NºAsuntos!G31),'Resol  Asuntos'!D31/NºAsuntos!G31," - ")</f>
        <v>8.9456869009584661E-2</v>
      </c>
      <c r="AO31" s="1185">
        <f>IF(ISNUMBER((NºAsuntos!C31+NºAsuntos!E31)/NºAsuntos!G31),(NºAsuntos!C31+NºAsuntos!E31)/NºAsuntos!G31," - ")</f>
        <v>2.2220447284345046</v>
      </c>
      <c r="AP31" s="1186" t="str">
        <f t="shared" si="2"/>
        <v xml:space="preserve"> - </v>
      </c>
      <c r="AQ31" s="1187">
        <f>IF(OR(ISNUMBER(FIND("01",Criterios!A8,1)),ISNUMBER(FIND("02",Criterios!A8,1)),ISNUMBER(FIND("03",Criterios!A8,1)),ISNUMBER(FIND("04",Criterios!A8,1))),(I31-W31+K31)/(F31-K31),(H31-W31+K31)/(F31-K31))</f>
        <v>-2.2435233160621761</v>
      </c>
      <c r="AR31" s="1188">
        <f>IF(ISNUMBER((Datos!P31-Datos!Q31)/(Datos!R31-Datos!P31+Datos!Q31)),(Datos!P31-Datos!Q31)/(Datos!R31-Datos!P31+Datos!Q31)," - ")</f>
        <v>1.9955654101995565E-2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89.040814611427862</v>
      </c>
      <c r="G33" s="277">
        <f>IF(ISNUMBER(STDEV(G8:G30)),STDEV(G8:G30),"-")</f>
        <v>88.024076792875803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203.53436588261476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13.125765283811617</v>
      </c>
      <c r="AJ33" s="276">
        <f t="shared" si="25"/>
        <v>0</v>
      </c>
      <c r="AK33" s="278">
        <f t="shared" si="25"/>
        <v>0</v>
      </c>
      <c r="AL33" s="273">
        <f t="shared" si="25"/>
        <v>0.1066990711419635</v>
      </c>
      <c r="AM33" s="274">
        <f t="shared" si="25"/>
        <v>2.4996658373502485</v>
      </c>
      <c r="AN33" s="274">
        <f t="shared" si="25"/>
        <v>0.20235469734380793</v>
      </c>
      <c r="AO33" s="275">
        <f t="shared" si="25"/>
        <v>1.2520241865604433</v>
      </c>
      <c r="AP33" s="317" t="str">
        <f t="shared" si="25"/>
        <v>-</v>
      </c>
      <c r="AQ33" s="318">
        <f t="shared" si="25"/>
        <v>1.4926555756092725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s297IEv2fKdv7QhG4q/yM4pk5FiWH2IR+HfV0JgCvrijQ7G4JubGw8kqL3hfBh+KgpINzfI895yT523j9gLw==" saltValue="Jht+5I/uMfRH4W7BVmw1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CAZORLA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3</v>
      </c>
      <c r="F10" s="393">
        <f>IF(ISNUMBER((Datos!K10-Datos!U10)/Datos!U10),(Datos!K10-Datos!U10)/Datos!U10," - ")</f>
        <v>1</v>
      </c>
      <c r="G10" s="394">
        <f>IF(ISNUMBER((Datos!L10-Datos!V10)/Datos!V10),(Datos!L10-Datos!V10)/Datos!V10," - ")</f>
        <v>0.75</v>
      </c>
      <c r="H10" s="244">
        <f>IF(ISNUMBER((Datos!M10-Datos!W10)/Datos!W10),(Datos!M10-Datos!W10)/Datos!W10," - ")</f>
        <v>0</v>
      </c>
      <c r="I10" s="395">
        <f>IF(ISNUMBER((Tasas!C10-Datos!BE10)/Datos!BE10),(Tasas!C10-Datos!BE10)/Datos!BE10," - ")</f>
        <v>-0.125</v>
      </c>
      <c r="J10" s="394">
        <f>IF(ISNUMBER((Tasas!D10-Datos!BF10)/Datos!BF10),(Tasas!D10-Datos!BF10)/Datos!BF10," - ")</f>
        <v>-0.5</v>
      </c>
      <c r="K10" s="396">
        <f>IF(ISNUMBER((Tasas!E10-Datos!BG10)/Datos!BG10),(Tasas!E10-Datos!BG10)/Datos!BG10," - ")</f>
        <v>-0.1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-0.24324324324324326</v>
      </c>
      <c r="I12" s="395">
        <f>IF(ISNUMBER((Tasas!C12-Datos!BE12)/Datos!BE12),(Tasas!C12-Datos!BE12)/Datos!BE12," - ")</f>
        <v>8.2621481585212313E-3</v>
      </c>
      <c r="J12" s="394">
        <f>IF(ISNUMBER((Tasas!D12-Datos!BF12)/Datos!BF12),(Tasas!D12-Datos!BF12)/Datos!BF12," - ")</f>
        <v>-0.38100172711571678</v>
      </c>
      <c r="K12" s="396">
        <f>IF(ISNUMBER((Tasas!E12-Datos!BG12)/Datos!BG12),(Tasas!E12-Datos!BG12)/Datos!BG12," - ")</f>
        <v>6.0278771072028135E-3</v>
      </c>
      <c r="M12" t="e">
        <f>IF(Monitorios="SI",Datos!CE12,0)</f>
        <v>#REF!</v>
      </c>
      <c r="N12" t="e">
        <f>IF(Monitorios="SI",Datos!CF12,0)</f>
        <v>#REF!</v>
      </c>
      <c r="O12" t="e">
        <f>IF(Monitorios="SI",Datos!CG12,0)</f>
        <v>#REF!</v>
      </c>
      <c r="P12" t="e">
        <f>IF(Monitorios="SI",Datos!CH12,0)</f>
        <v>#REF!</v>
      </c>
      <c r="Q12">
        <f>IF(J_V="SI",0,Datos!AG12)</f>
        <v>35</v>
      </c>
      <c r="R12">
        <f>IF(J_V="SI",0,Datos!AH12)</f>
        <v>31</v>
      </c>
      <c r="S12">
        <f>IF(J_V="SI",0,Datos!AI12)</f>
        <v>34</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-0.23076923076923078</v>
      </c>
      <c r="I14" s="402">
        <f>IF(ISNUMBER((Tasas!C14-Datos!BE14)/Datos!BE14),(Tasas!C14-Datos!BE14)/Datos!BE14," - ")</f>
        <v>9.1100345486479547E-3</v>
      </c>
      <c r="J14" s="400">
        <f>IF(ISNUMBER((Tasas!D14-Datos!BF14)/Datos!BF14),(Tasas!D14-Datos!BF14)/Datos!BF14," - ")</f>
        <v>-0.3714223998271951</v>
      </c>
      <c r="K14" s="403">
        <f>IF(ISNUMBER((Tasas!E14-Datos!BG14)/Datos!BG14),(Tasas!E14-Datos!BG14)/Datos!BG14," - ")</f>
        <v>6.6553863508178115E-3</v>
      </c>
      <c r="M14" t="e">
        <f>IF(Monitorios="SI",Datos!CE14,0)</f>
        <v>#REF!</v>
      </c>
      <c r="N14" t="e">
        <f>IF(Monitorios="SI",Datos!CF14,0)</f>
        <v>#REF!</v>
      </c>
      <c r="O14" t="e">
        <f>IF(Monitorios="SI",Datos!CG14,0)</f>
        <v>#REF!</v>
      </c>
      <c r="P14" t="e">
        <f>IF(Monitorios="SI",Datos!CH14,0)</f>
        <v>#REF!</v>
      </c>
      <c r="Q14">
        <f>IF(J_V="SI",0,Datos!AG14)</f>
        <v>35</v>
      </c>
      <c r="R14">
        <f>IF(J_V="SI",0,Datos!AH14)</f>
        <v>31</v>
      </c>
      <c r="S14">
        <f>IF(J_V="SI",0,Datos!AI14)</f>
        <v>34</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-5.8510638297872342E-2</v>
      </c>
      <c r="E17" s="393">
        <f>IF(ISNUMBER(
   IF(D_I="SI",(Datos!J17-Datos!T17)/Datos!T17,(Datos!J17+Datos!AD17-(Datos!T17+Datos!AL17))/(Datos!T17+Datos!AL17))
     ),IF(D_I="SI",(Datos!J17-Datos!T17)/Datos!T17,(Datos!J17+Datos!AD17-(Datos!T17+Datos!AL17))/(Datos!T17+Datos!AL17))," - ")</f>
        <v>0.60073260073260071</v>
      </c>
      <c r="F17" s="393">
        <f>IF(ISNUMBER(
   IF(D_I="SI",(Datos!K17-Datos!U17)/Datos!U17,(Datos!K17+Datos!AE17-(Datos!U17+Datos!AM17))/(Datos!U17+Datos!AM17))
     ),IF(D_I="SI",(Datos!K17-Datos!U17)/Datos!U17,(Datos!K17+Datos!AE17-(Datos!U17+Datos!AM17))/(Datos!U17+Datos!AM17))," - ")</f>
        <v>0.88181818181818183</v>
      </c>
      <c r="G17" s="394">
        <f>IF(ISNUMBER(
   IF(D_I="SI",(Datos!L17-Datos!V17)/Datos!V17,(Datos!L17+Datos!AF17-(Datos!V17+Datos!AN17))/(Datos!V17+Datos!AN17))
     ),IF(D_I="SI",(Datos!L17-Datos!V17)/Datos!V17,(Datos!L17+Datos!AF17-(Datos!V17+Datos!AN17))/(Datos!V17+Datos!AN17))," - ")</f>
        <v>-0.16182572614107885</v>
      </c>
      <c r="H17" s="244">
        <f>IF(ISNUMBER((Datos!M17-Datos!W17)/Datos!W17),(Datos!M17-Datos!W17)/Datos!W17," - ")</f>
        <v>-0.26923076923076922</v>
      </c>
      <c r="I17" s="395">
        <f>IF(ISNUMBER((Tasas!C17-Datos!BE17)/Datos!BE17),(Tasas!C17-Datos!BE17)/Datos!BE17," - ")</f>
        <v>-0.55459338104115308</v>
      </c>
      <c r="J17" s="394">
        <f>IF(ISNUMBER((Tasas!D17-Datos!BF17)/Datos!BF17),(Tasas!D17-Datos!BF17)/Datos!BF17," - ")</f>
        <v>-0.61166852471200295</v>
      </c>
      <c r="K17" s="396">
        <f>IF(ISNUMBER((Tasas!E17-Datos!BG17)/Datos!BG17),(Tasas!E17-Datos!BG17)/Datos!BG17," - ")</f>
        <v>-0.29223385415029285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8.6956521739130432E-2</v>
      </c>
      <c r="E18" s="393">
        <f>IF(ISNUMBER(
   IF(D_I="SI",(Datos!J18-Datos!T18)/Datos!T18,(Datos!J18+Datos!AD18-(Datos!T18+Datos!AL18))/(Datos!T18+Datos!AL18))
     ),IF(D_I="SI",(Datos!J18-Datos!T18)/Datos!T18,(Datos!J18+Datos!AD18-(Datos!T18+Datos!AL18))/(Datos!T18+Datos!AL18))," - ")</f>
        <v>-0.46666666666666667</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-0.21212121212121213</v>
      </c>
      <c r="H18" s="244">
        <f>IF(ISNUMBER((Datos!M18-Datos!W18)/Datos!W18),(Datos!M18-Datos!W18)/Datos!W18," - ")</f>
        <v>0.75</v>
      </c>
      <c r="I18" s="395">
        <f>IF(ISNUMBER((Tasas!C18-Datos!BE18)/Datos!BE18),(Tasas!C18-Datos!BE18)/Datos!BE18," - ")</f>
        <v>5.0505050505050594E-2</v>
      </c>
      <c r="J18" s="394">
        <f>IF(ISNUMBER((Tasas!D18-Datos!BF18)/Datos!BF18),(Tasas!D18-Datos!BF18)/Datos!BF18," - ")</f>
        <v>1.3333333333333333</v>
      </c>
      <c r="K18" s="396">
        <f>IF(ISNUMBER((Tasas!E18-Datos!BG18)/Datos!BG18),(Tasas!E18-Datos!BG18)/Datos!BG18," - ")</f>
        <v>3.14465408805032E-2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-4.2654028436018961E-2</v>
      </c>
      <c r="E23" s="399">
        <f>IF(ISNUMBER(
   IF(D_I="SI",(Datos!J23-Datos!T23)/Datos!T23,(Datos!J23+Datos!AD23-(Datos!T23+Datos!AL23))/(Datos!T23+Datos!AL23))
     ),IF(D_I="SI",(Datos!J23-Datos!T23)/Datos!T23,(Datos!J23+Datos!AD23-(Datos!T23+Datos!AL23))/(Datos!T23+Datos!AL23))," - ")</f>
        <v>0.49504950495049505</v>
      </c>
      <c r="F23" s="399">
        <f>IF(ISNUMBER(
   IF(D_I="SI",(Datos!K23-Datos!U23)/Datos!U23,(Datos!K23+Datos!AE23-(Datos!U23+Datos!AM23))/(Datos!U23+Datos!AM23))
     ),IF(D_I="SI",(Datos!K23-Datos!U23)/Datos!U23,(Datos!K23+Datos!AE23-(Datos!U23+Datos!AM23))/(Datos!U23+Datos!AM23))," - ")</f>
        <v>0.78749999999999998</v>
      </c>
      <c r="G23" s="400">
        <f>IF(ISNUMBER(
   IF(D_I="SI",(Datos!L23-Datos!V23)/Datos!V23,(Datos!L23+Datos!AF23-(Datos!V23+Datos!AN23))/(Datos!V23+Datos!AN23))
     ),IF(D_I="SI",(Datos!L23-Datos!V23)/Datos!V23,(Datos!L23+Datos!AF23-(Datos!V23+Datos!AN23))/(Datos!V23+Datos!AN23))," - ")</f>
        <v>-0.16788321167883211</v>
      </c>
      <c r="H23" s="401">
        <f>IF(ISNUMBER((Datos!M23-Datos!W23)/Datos!W23),(Datos!M23-Datos!W23)/Datos!W23," - ")</f>
        <v>-0.13333333333333333</v>
      </c>
      <c r="I23" s="402">
        <f>IF(ISNUMBER((Tasas!C23-Datos!BE23)/Datos!BE23),(Tasas!C23-Datos!BE23)/Datos!BE23," - ")</f>
        <v>-0.53448011842172427</v>
      </c>
      <c r="J23" s="400">
        <f>IF(ISNUMBER((Tasas!D23-Datos!BF23)/Datos!BF23),(Tasas!D23-Datos!BF23)/Datos!BF23," - ")</f>
        <v>-0.51515151515151514</v>
      </c>
      <c r="K23" s="403">
        <f>IF(ISNUMBER((Tasas!E23-Datos!BG23)/Datos!BG23),(Tasas!E23-Datos!BG23)/Datos!BG23," - ")</f>
        <v>-0.28709422872847001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-8.5020242914979755E-2</v>
      </c>
      <c r="E31" s="409">
        <f>IF(ISNUMBER(
   IF(J_V="SI",(Datos!J31-Datos!T31)/Datos!T31,(Datos!J31+Datos!Z31-(Datos!T31+Datos!AH31))/(Datos!T31+Datos!AH31))
     ),IF(J_V="SI",(Datos!J31-Datos!T31)/Datos!T31,(Datos!J31+Datos!Z31-(Datos!T31+Datos!AH31))/(Datos!T31+Datos!AH31))," - ")</f>
        <v>0.44624746450304259</v>
      </c>
      <c r="F31" s="409">
        <f>IF(ISNUMBER(
   IF(J_V="SI",(Datos!K31-Datos!U31)/Datos!U31,(Datos!K31+Datos!AA31-(Datos!U31+Datos!AI31))/(Datos!U31+Datos!AI31))
     ),IF(J_V="SI",(Datos!K31-Datos!U31)/Datos!U31,(Datos!K31+Datos!AA31-(Datos!U31+Datos!AI31))/(Datos!U31+Datos!AI31))," - ")</f>
        <v>0.44239631336405533</v>
      </c>
      <c r="G31" s="410">
        <f>IF(ISNUMBER(
   IF(J_V="SI",(Datos!L31-Datos!V31)/Datos!V31,(Datos!L31+Datos!AB31-(Datos!V31+Datos!AJ31))/(Datos!V31+Datos!AJ31))
     ),IF(J_V="SI",(Datos!L31-Datos!V31)/Datos!V31,(Datos!L31+Datos!AB31-(Datos!V31+Datos!AJ31))/(Datos!V31+Datos!AJ31))," - ")</f>
        <v>-4.1250000000000002E-2</v>
      </c>
      <c r="H31" s="411">
        <f>IF(ISNUMBER((Datos!M31-Datos!W31)/Datos!W31),(Datos!M31-Datos!W31)/Datos!W31," - ")</f>
        <v>-0.18840579710144928</v>
      </c>
      <c r="I31" s="408">
        <f>IF(ISNUMBER((Tasas!C31-Datos!BE31)/Datos!BE31),(Tasas!C31-Datos!BE31)/Datos!BE31," - ")</f>
        <v>-0.33530750798722048</v>
      </c>
      <c r="J31" s="409">
        <f>IF(ISNUMBER((Tasas!D31-Datos!BF31)/Datos!BF31),(Tasas!D31-Datos!BF31)/Datos!BF31," - ")</f>
        <v>-0.49578855649143194</v>
      </c>
      <c r="K31" s="410">
        <f>IF(ISNUMBER((Tasas!E31-Datos!BG31)/Datos!BG31),(Tasas!E31-Datos!BG31)/Datos!BG31," - ")</f>
        <v>-0.21850290750358589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0.28762360716002644</v>
      </c>
      <c r="E33" s="303">
        <f t="shared" si="1"/>
        <v>1.4754786489233034</v>
      </c>
      <c r="F33" s="303">
        <f t="shared" si="1"/>
        <v>0.57647909460971658</v>
      </c>
      <c r="G33" s="304">
        <f t="shared" si="1"/>
        <v>0.46584477937687768</v>
      </c>
      <c r="H33" s="310">
        <f t="shared" si="1"/>
        <v>0.390516178028186</v>
      </c>
      <c r="I33" s="302">
        <f t="shared" si="1"/>
        <v>0.28021736245390716</v>
      </c>
      <c r="J33" s="303">
        <f t="shared" si="1"/>
        <v>0.74405545250693839</v>
      </c>
      <c r="K33" s="304">
        <f t="shared" si="1"/>
        <v>0.14943031413152411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9doj9IGs5T1Zc7rqRMwb1BULWweftUXbC8zX/kj22ZRz5V01ec/rrlbVKYhcgnjHFnhu+8V6HnDYNmcD1O1g==" saltValue="I3GFdrc6AwWgoyLb/KzP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